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d.docs.live.net/e52c368020081e9b/CAL POLY FILES/"/>
    </mc:Choice>
  </mc:AlternateContent>
  <xr:revisionPtr revIDLastSave="17" documentId="8_{BC057AC6-92E3-4D79-A96B-4729B2A7E55A}" xr6:coauthVersionLast="47" xr6:coauthVersionMax="47" xr10:uidLastSave="{2A474EEC-C8A7-4FCF-B7CA-79EE27F16C2C}"/>
  <bookViews>
    <workbookView xWindow="-108" yWindow="-108" windowWidth="23256" windowHeight="12456" activeTab="1" xr2:uid="{2C6F4B18-AF1D-44ED-AC4B-6FAF6C8E7B61}"/>
  </bookViews>
  <sheets>
    <sheet name="bond analysis" sheetId="8" r:id="rId1"/>
    <sheet name="dcf" sheetId="4" r:id="rId2"/>
    <sheet name="comps analysis" sheetId="7" r:id="rId3"/>
    <sheet name="nwc" sheetId="5" r:id="rId4"/>
    <sheet name="wacc" sheetId="6" r:id="rId5"/>
    <sheet name="income" sheetId="2" r:id="rId6"/>
    <sheet name="balance" sheetId="1" r:id="rId7"/>
    <sheet name="cf" sheetId="3" r:id="rId8"/>
  </sheets>
  <externalReferences>
    <externalReference r:id="rId9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3" i="8" l="1"/>
  <c r="D54" i="8" s="1"/>
  <c r="D55" i="8" s="1"/>
  <c r="D56" i="8" s="1"/>
  <c r="D57" i="8" s="1"/>
  <c r="D58" i="8" s="1"/>
  <c r="D59" i="8" s="1"/>
  <c r="D60" i="8" s="1"/>
  <c r="D61" i="8" s="1"/>
  <c r="D62" i="8" s="1"/>
  <c r="D63" i="8" s="1"/>
  <c r="D64" i="8" s="1"/>
  <c r="D65" i="8" s="1"/>
  <c r="D66" i="8" s="1"/>
  <c r="D67" i="8" s="1"/>
  <c r="D68" i="8" s="1"/>
  <c r="D69" i="8" s="1"/>
  <c r="D70" i="8" s="1"/>
  <c r="D71" i="8" s="1"/>
  <c r="D72" i="8" s="1"/>
  <c r="D73" i="8" s="1"/>
  <c r="D74" i="8" s="1"/>
  <c r="D75" i="8" s="1"/>
  <c r="D76" i="8" s="1"/>
  <c r="D77" i="8" s="1"/>
  <c r="D78" i="8" s="1"/>
  <c r="D79" i="8" s="1"/>
  <c r="D80" i="8" s="1"/>
  <c r="D81" i="8" s="1"/>
  <c r="D82" i="8" s="1"/>
  <c r="D83" i="8" s="1"/>
  <c r="D84" i="8" s="1"/>
  <c r="D85" i="8" s="1"/>
  <c r="D86" i="8" s="1"/>
  <c r="D87" i="8" s="1"/>
  <c r="D88" i="8" s="1"/>
  <c r="D89" i="8" s="1"/>
  <c r="D90" i="8" s="1"/>
  <c r="D91" i="8" s="1"/>
  <c r="D92" i="8" s="1"/>
  <c r="D93" i="8" s="1"/>
  <c r="D94" i="8" s="1"/>
  <c r="D95" i="8" s="1"/>
  <c r="D96" i="8" s="1"/>
  <c r="D97" i="8" s="1"/>
  <c r="D98" i="8" s="1"/>
  <c r="D99" i="8" s="1"/>
  <c r="D100" i="8" s="1"/>
  <c r="L44" i="8"/>
  <c r="L45" i="8" s="1"/>
  <c r="L46" i="8" s="1"/>
  <c r="C44" i="8"/>
  <c r="G44" i="8" s="1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B3" i="8"/>
  <c r="M63" i="8" s="1"/>
  <c r="D37" i="8" l="1"/>
  <c r="E37" i="8" s="1"/>
  <c r="F37" i="8" s="1"/>
  <c r="D18" i="8"/>
  <c r="E18" i="8" s="1"/>
  <c r="F18" i="8" s="1"/>
  <c r="D10" i="8"/>
  <c r="E10" i="8" s="1"/>
  <c r="F10" i="8" s="1"/>
  <c r="D11" i="8"/>
  <c r="E11" i="8" s="1"/>
  <c r="F11" i="8" s="1"/>
  <c r="D31" i="8"/>
  <c r="E31" i="8" s="1"/>
  <c r="F31" i="8" s="1"/>
  <c r="I43" i="8"/>
  <c r="J43" i="8" s="1"/>
  <c r="I23" i="8"/>
  <c r="J23" i="8" s="1"/>
  <c r="D24" i="8"/>
  <c r="E24" i="8" s="1"/>
  <c r="F24" i="8" s="1"/>
  <c r="D36" i="8"/>
  <c r="E36" i="8" s="1"/>
  <c r="F36" i="8" s="1"/>
  <c r="D19" i="8"/>
  <c r="E19" i="8" s="1"/>
  <c r="F19" i="8" s="1"/>
  <c r="I31" i="8"/>
  <c r="J31" i="8" s="1"/>
  <c r="M48" i="8"/>
  <c r="D13" i="8"/>
  <c r="E13" i="8" s="1"/>
  <c r="F13" i="8" s="1"/>
  <c r="I25" i="8"/>
  <c r="J25" i="8" s="1"/>
  <c r="D32" i="8"/>
  <c r="E32" i="8" s="1"/>
  <c r="F32" i="8" s="1"/>
  <c r="M50" i="8"/>
  <c r="I19" i="8"/>
  <c r="J19" i="8" s="1"/>
  <c r="D26" i="8"/>
  <c r="E26" i="8" s="1"/>
  <c r="F26" i="8" s="1"/>
  <c r="M51" i="8"/>
  <c r="I7" i="8"/>
  <c r="J7" i="8" s="1"/>
  <c r="D20" i="8"/>
  <c r="E20" i="8" s="1"/>
  <c r="F20" i="8" s="1"/>
  <c r="M52" i="8"/>
  <c r="D8" i="8"/>
  <c r="E8" i="8" s="1"/>
  <c r="F8" i="8" s="1"/>
  <c r="D15" i="8"/>
  <c r="E15" i="8" s="1"/>
  <c r="F15" i="8" s="1"/>
  <c r="D27" i="8"/>
  <c r="E27" i="8" s="1"/>
  <c r="F27" i="8" s="1"/>
  <c r="I41" i="8"/>
  <c r="J41" i="8" s="1"/>
  <c r="D21" i="8"/>
  <c r="E21" i="8" s="1"/>
  <c r="F21" i="8" s="1"/>
  <c r="D35" i="8"/>
  <c r="E35" i="8" s="1"/>
  <c r="F35" i="8" s="1"/>
  <c r="D42" i="8"/>
  <c r="E42" i="8" s="1"/>
  <c r="F42" i="8" s="1"/>
  <c r="M53" i="8"/>
  <c r="I15" i="8"/>
  <c r="J15" i="8" s="1"/>
  <c r="M55" i="8"/>
  <c r="I9" i="8"/>
  <c r="J9" i="8" s="1"/>
  <c r="D16" i="8"/>
  <c r="E16" i="8" s="1"/>
  <c r="F16" i="8" s="1"/>
  <c r="D29" i="8"/>
  <c r="E29" i="8" s="1"/>
  <c r="F29" i="8" s="1"/>
  <c r="I35" i="8"/>
  <c r="J35" i="8" s="1"/>
  <c r="D43" i="8"/>
  <c r="E43" i="8" s="1"/>
  <c r="F43" i="8" s="1"/>
  <c r="M57" i="8"/>
  <c r="I27" i="8"/>
  <c r="J27" i="8" s="1"/>
  <c r="M60" i="8"/>
  <c r="I11" i="8"/>
  <c r="J11" i="8" s="1"/>
  <c r="D23" i="8"/>
  <c r="E23" i="8" s="1"/>
  <c r="F23" i="8" s="1"/>
  <c r="D28" i="8"/>
  <c r="E28" i="8" s="1"/>
  <c r="F28" i="8" s="1"/>
  <c r="D34" i="8"/>
  <c r="E34" i="8" s="1"/>
  <c r="F34" i="8" s="1"/>
  <c r="I39" i="8"/>
  <c r="J39" i="8" s="1"/>
  <c r="M44" i="8"/>
  <c r="N44" i="8" s="1"/>
  <c r="M62" i="8"/>
  <c r="D39" i="8"/>
  <c r="E39" i="8" s="1"/>
  <c r="F39" i="8" s="1"/>
  <c r="M58" i="8"/>
  <c r="I33" i="8"/>
  <c r="J33" i="8" s="1"/>
  <c r="D7" i="8"/>
  <c r="E7" i="8" s="1"/>
  <c r="F7" i="8" s="1"/>
  <c r="D12" i="8"/>
  <c r="E12" i="8" s="1"/>
  <c r="F12" i="8" s="1"/>
  <c r="I17" i="8"/>
  <c r="J17" i="8" s="1"/>
  <c r="D40" i="8"/>
  <c r="E40" i="8" s="1"/>
  <c r="F40" i="8" s="1"/>
  <c r="M47" i="8"/>
  <c r="L47" i="8"/>
  <c r="D44" i="8"/>
  <c r="E44" i="8" s="1"/>
  <c r="F44" i="8" s="1"/>
  <c r="M56" i="8"/>
  <c r="M45" i="8"/>
  <c r="N45" i="8" s="1"/>
  <c r="I44" i="8"/>
  <c r="J44" i="8" s="1"/>
  <c r="M61" i="8"/>
  <c r="I42" i="8"/>
  <c r="J42" i="8" s="1"/>
  <c r="I40" i="8"/>
  <c r="J40" i="8" s="1"/>
  <c r="I38" i="8"/>
  <c r="J38" i="8" s="1"/>
  <c r="I36" i="8"/>
  <c r="J36" i="8" s="1"/>
  <c r="I34" i="8"/>
  <c r="J34" i="8" s="1"/>
  <c r="I32" i="8"/>
  <c r="J32" i="8" s="1"/>
  <c r="I30" i="8"/>
  <c r="J30" i="8" s="1"/>
  <c r="I28" i="8"/>
  <c r="J28" i="8" s="1"/>
  <c r="I26" i="8"/>
  <c r="J26" i="8" s="1"/>
  <c r="I24" i="8"/>
  <c r="J24" i="8" s="1"/>
  <c r="I22" i="8"/>
  <c r="J22" i="8" s="1"/>
  <c r="I20" i="8"/>
  <c r="J20" i="8" s="1"/>
  <c r="I18" i="8"/>
  <c r="J18" i="8" s="1"/>
  <c r="I16" i="8"/>
  <c r="J16" i="8" s="1"/>
  <c r="I14" i="8"/>
  <c r="J14" i="8" s="1"/>
  <c r="I12" i="8"/>
  <c r="J12" i="8" s="1"/>
  <c r="I10" i="8"/>
  <c r="J10" i="8" s="1"/>
  <c r="I8" i="8"/>
  <c r="J8" i="8" s="1"/>
  <c r="I6" i="8"/>
  <c r="J6" i="8" s="1"/>
  <c r="M54" i="8"/>
  <c r="M59" i="8"/>
  <c r="M46" i="8"/>
  <c r="N46" i="8" s="1"/>
  <c r="I21" i="8"/>
  <c r="J21" i="8" s="1"/>
  <c r="I37" i="8"/>
  <c r="J37" i="8" s="1"/>
  <c r="I29" i="8"/>
  <c r="J29" i="8" s="1"/>
  <c r="D6" i="8"/>
  <c r="I13" i="8"/>
  <c r="J13" i="8" s="1"/>
  <c r="D9" i="8"/>
  <c r="E9" i="8" s="1"/>
  <c r="F9" i="8" s="1"/>
  <c r="D14" i="8"/>
  <c r="E14" i="8" s="1"/>
  <c r="F14" i="8" s="1"/>
  <c r="D17" i="8"/>
  <c r="E17" i="8" s="1"/>
  <c r="F17" i="8" s="1"/>
  <c r="D22" i="8"/>
  <c r="E22" i="8" s="1"/>
  <c r="F22" i="8" s="1"/>
  <c r="D25" i="8"/>
  <c r="E25" i="8" s="1"/>
  <c r="F25" i="8" s="1"/>
  <c r="D30" i="8"/>
  <c r="E30" i="8" s="1"/>
  <c r="F30" i="8" s="1"/>
  <c r="D33" i="8"/>
  <c r="E33" i="8" s="1"/>
  <c r="F33" i="8" s="1"/>
  <c r="D38" i="8"/>
  <c r="E38" i="8" s="1"/>
  <c r="F38" i="8" s="1"/>
  <c r="D41" i="8"/>
  <c r="E41" i="8" s="1"/>
  <c r="F41" i="8" s="1"/>
  <c r="M49" i="8"/>
  <c r="M64" i="8"/>
  <c r="D45" i="8" l="1"/>
  <c r="E6" i="8"/>
  <c r="E50" i="8"/>
  <c r="J48" i="8"/>
  <c r="L48" i="8"/>
  <c r="N47" i="8"/>
  <c r="O54" i="8" l="1"/>
  <c r="O59" i="8"/>
  <c r="O46" i="8"/>
  <c r="O64" i="8"/>
  <c r="O52" i="8"/>
  <c r="O49" i="8"/>
  <c r="O57" i="8"/>
  <c r="O61" i="8"/>
  <c r="O53" i="8"/>
  <c r="O58" i="8"/>
  <c r="O63" i="8"/>
  <c r="O55" i="8"/>
  <c r="O51" i="8"/>
  <c r="O60" i="8"/>
  <c r="O62" i="8"/>
  <c r="F50" i="8"/>
  <c r="G50" i="8" s="1"/>
  <c r="O45" i="8"/>
  <c r="O56" i="8"/>
  <c r="O44" i="8"/>
  <c r="O50" i="8"/>
  <c r="O48" i="8"/>
  <c r="O47" i="8"/>
  <c r="E45" i="8"/>
  <c r="E46" i="8" s="1"/>
  <c r="E47" i="8" s="1"/>
  <c r="F6" i="8"/>
  <c r="F45" i="8" s="1"/>
  <c r="F46" i="8" s="1"/>
  <c r="L49" i="8"/>
  <c r="N48" i="8"/>
  <c r="J50" i="8"/>
  <c r="J52" i="8"/>
  <c r="J49" i="8"/>
  <c r="J51" i="8" s="1"/>
  <c r="F47" i="8" l="1"/>
  <c r="J46" i="8"/>
  <c r="J47" i="8" s="1"/>
  <c r="P47" i="8"/>
  <c r="Q47" i="8" s="1"/>
  <c r="N49" i="8"/>
  <c r="L50" i="8"/>
  <c r="L51" i="8" l="1"/>
  <c r="N50" i="8"/>
  <c r="P46" i="8"/>
  <c r="Q46" i="8" s="1"/>
  <c r="P45" i="8"/>
  <c r="Q45" i="8" s="1"/>
  <c r="P44" i="8"/>
  <c r="Q44" i="8" s="1"/>
  <c r="P49" i="8"/>
  <c r="Q49" i="8" s="1"/>
  <c r="P50" i="8"/>
  <c r="Q50" i="8" s="1"/>
  <c r="P48" i="8"/>
  <c r="Q48" i="8" s="1"/>
  <c r="N51" i="8" l="1"/>
  <c r="L52" i="8"/>
  <c r="P51" i="8"/>
  <c r="Q51" i="8" s="1"/>
  <c r="N52" i="8" l="1"/>
  <c r="L53" i="8"/>
  <c r="P52" i="8"/>
  <c r="Q52" i="8" s="1"/>
  <c r="L54" i="8" l="1"/>
  <c r="N53" i="8"/>
  <c r="P53" i="8"/>
  <c r="Q53" i="8" s="1"/>
  <c r="N54" i="8" l="1"/>
  <c r="L55" i="8"/>
  <c r="P54" i="8"/>
  <c r="Q54" i="8" s="1"/>
  <c r="L56" i="8" l="1"/>
  <c r="N55" i="8"/>
  <c r="P55" i="8"/>
  <c r="Q55" i="8" s="1"/>
  <c r="N56" i="8" l="1"/>
  <c r="L57" i="8"/>
  <c r="P56" i="8"/>
  <c r="Q56" i="8" s="1"/>
  <c r="L58" i="8" l="1"/>
  <c r="N57" i="8"/>
  <c r="P57" i="8"/>
  <c r="Q57" i="8" s="1"/>
  <c r="L59" i="8" l="1"/>
  <c r="N58" i="8"/>
  <c r="P58" i="8"/>
  <c r="Q58" i="8" s="1"/>
  <c r="N59" i="8" l="1"/>
  <c r="L60" i="8"/>
  <c r="P59" i="8"/>
  <c r="Q59" i="8" s="1"/>
  <c r="L61" i="8" l="1"/>
  <c r="N60" i="8"/>
  <c r="P60" i="8"/>
  <c r="Q60" i="8" s="1"/>
  <c r="N61" i="8" l="1"/>
  <c r="L62" i="8"/>
  <c r="P61" i="8"/>
  <c r="Q61" i="8" s="1"/>
  <c r="L63" i="8" l="1"/>
  <c r="N62" i="8"/>
  <c r="P62" i="8"/>
  <c r="Q62" i="8" s="1"/>
  <c r="L64" i="8" l="1"/>
  <c r="N63" i="8"/>
  <c r="P63" i="8"/>
  <c r="Q63" i="8" s="1"/>
  <c r="N64" i="8" l="1"/>
  <c r="P64" i="8"/>
  <c r="Q64" i="8" s="1"/>
  <c r="I4" i="4" l="1"/>
  <c r="I5" i="4" s="1"/>
  <c r="I19" i="4"/>
  <c r="A22" i="6"/>
  <c r="X7" i="4"/>
  <c r="Y7" i="4" s="1"/>
  <c r="B10" i="4"/>
  <c r="E13" i="7"/>
  <c r="F13" i="7"/>
  <c r="G13" i="7"/>
  <c r="H13" i="7"/>
  <c r="I13" i="7"/>
  <c r="J13" i="7"/>
  <c r="D13" i="7"/>
  <c r="E31" i="4"/>
  <c r="L33" i="2"/>
  <c r="Q7" i="4"/>
  <c r="P7" i="4"/>
  <c r="N7" i="4"/>
  <c r="M7" i="4" s="1"/>
  <c r="L11" i="4"/>
  <c r="L12" i="4" s="1"/>
  <c r="L13" i="4" s="1"/>
  <c r="L9" i="4"/>
  <c r="L8" i="4"/>
  <c r="T12" i="4"/>
  <c r="T13" i="4" s="1"/>
  <c r="T11" i="4"/>
  <c r="T8" i="4"/>
  <c r="T9" i="4"/>
  <c r="I9" i="4"/>
  <c r="I11" i="4"/>
  <c r="I7" i="4"/>
  <c r="F9" i="4"/>
  <c r="F7" i="4"/>
  <c r="B21" i="7"/>
  <c r="B20" i="7"/>
  <c r="D19" i="4"/>
  <c r="B19" i="7"/>
  <c r="B18" i="7"/>
  <c r="B17" i="7"/>
  <c r="B16" i="7"/>
  <c r="B3" i="4"/>
  <c r="F11" i="4"/>
  <c r="F30" i="4"/>
  <c r="G30" i="4" s="1"/>
  <c r="H30" i="4" s="1"/>
  <c r="I30" i="4" s="1"/>
  <c r="B6" i="6"/>
  <c r="D24" i="5"/>
  <c r="E24" i="5"/>
  <c r="F24" i="5"/>
  <c r="C24" i="5"/>
  <c r="D27" i="4" s="1"/>
  <c r="D23" i="5"/>
  <c r="E23" i="5"/>
  <c r="F23" i="5"/>
  <c r="G23" i="5"/>
  <c r="C23" i="5"/>
  <c r="D20" i="5"/>
  <c r="E20" i="5"/>
  <c r="F20" i="5"/>
  <c r="G20" i="5"/>
  <c r="C20" i="5"/>
  <c r="D14" i="5"/>
  <c r="E14" i="5"/>
  <c r="F14" i="5"/>
  <c r="G14" i="5"/>
  <c r="C14" i="5"/>
  <c r="G13" i="5"/>
  <c r="F13" i="5"/>
  <c r="E13" i="5"/>
  <c r="D13" i="5"/>
  <c r="D18" i="5"/>
  <c r="D19" i="5" s="1"/>
  <c r="E18" i="5"/>
  <c r="E19" i="5" s="1"/>
  <c r="F18" i="5"/>
  <c r="G18" i="5"/>
  <c r="C18" i="5"/>
  <c r="D12" i="5"/>
  <c r="E12" i="5"/>
  <c r="F12" i="5"/>
  <c r="G12" i="5"/>
  <c r="C12" i="5"/>
  <c r="D16" i="5"/>
  <c r="D17" i="5" s="1"/>
  <c r="E16" i="5"/>
  <c r="E17" i="5" s="1"/>
  <c r="F16" i="5"/>
  <c r="F17" i="5" s="1"/>
  <c r="G16" i="5"/>
  <c r="G17" i="5" s="1"/>
  <c r="C16" i="5"/>
  <c r="G19" i="5"/>
  <c r="F19" i="5"/>
  <c r="H23" i="4"/>
  <c r="H18" i="4"/>
  <c r="I18" i="4"/>
  <c r="D11" i="5"/>
  <c r="E11" i="5"/>
  <c r="F11" i="5"/>
  <c r="G11" i="5"/>
  <c r="D10" i="5"/>
  <c r="E10" i="5"/>
  <c r="F10" i="5"/>
  <c r="G10" i="5"/>
  <c r="C10" i="5"/>
  <c r="G8" i="5"/>
  <c r="E8" i="5"/>
  <c r="F8" i="5"/>
  <c r="D8" i="5"/>
  <c r="H7" i="5"/>
  <c r="I7" i="5" s="1"/>
  <c r="J7" i="5" s="1"/>
  <c r="K7" i="5" s="1"/>
  <c r="L7" i="5" s="1"/>
  <c r="D7" i="5"/>
  <c r="E7" i="5" s="1"/>
  <c r="F7" i="5" s="1"/>
  <c r="G7" i="5" s="1"/>
  <c r="L27" i="3"/>
  <c r="C27" i="3"/>
  <c r="D27" i="3"/>
  <c r="E27" i="3"/>
  <c r="F27" i="3"/>
  <c r="G27" i="3"/>
  <c r="H27" i="3"/>
  <c r="I27" i="3"/>
  <c r="J27" i="3"/>
  <c r="K27" i="3"/>
  <c r="B27" i="3"/>
  <c r="B21" i="2"/>
  <c r="F23" i="4"/>
  <c r="G23" i="4"/>
  <c r="I23" i="4"/>
  <c r="E23" i="4"/>
  <c r="L21" i="2"/>
  <c r="C21" i="2"/>
  <c r="D21" i="2"/>
  <c r="E21" i="2"/>
  <c r="F21" i="2"/>
  <c r="G21" i="2"/>
  <c r="H21" i="2"/>
  <c r="I21" i="2"/>
  <c r="J21" i="2"/>
  <c r="K21" i="2"/>
  <c r="L10" i="2"/>
  <c r="F18" i="4" s="1"/>
  <c r="D28" i="4"/>
  <c r="D24" i="4"/>
  <c r="D21" i="4"/>
  <c r="D26" i="4" s="1"/>
  <c r="D22" i="4"/>
  <c r="D20" i="4" s="1"/>
  <c r="D17" i="4"/>
  <c r="C8" i="5" s="1"/>
  <c r="C33" i="2"/>
  <c r="B7" i="4" s="1"/>
  <c r="B10" i="6" s="1"/>
  <c r="B11" i="6" s="1"/>
  <c r="D33" i="2"/>
  <c r="E33" i="2"/>
  <c r="F33" i="2"/>
  <c r="G33" i="2"/>
  <c r="H33" i="2"/>
  <c r="I33" i="2"/>
  <c r="J33" i="2"/>
  <c r="K33" i="2"/>
  <c r="B33" i="2"/>
  <c r="B6" i="4"/>
  <c r="B17" i="6" s="1"/>
  <c r="B4" i="4"/>
  <c r="B14" i="6" s="1"/>
  <c r="B5" i="4"/>
  <c r="B15" i="6"/>
  <c r="E16" i="4"/>
  <c r="F16" i="4" s="1"/>
  <c r="G16" i="4" s="1"/>
  <c r="H16" i="4" s="1"/>
  <c r="I16" i="4" s="1"/>
  <c r="V7" i="4" l="1"/>
  <c r="U7" i="4" s="1"/>
  <c r="D14" i="7"/>
  <c r="F14" i="7"/>
  <c r="E14" i="7"/>
  <c r="B16" i="6"/>
  <c r="B18" i="6" s="1"/>
  <c r="B19" i="6" s="1"/>
  <c r="A26" i="6" s="1"/>
  <c r="C11" i="5"/>
  <c r="L11" i="5" s="1"/>
  <c r="C17" i="5"/>
  <c r="H17" i="5" s="1"/>
  <c r="H16" i="5" s="1"/>
  <c r="C19" i="5"/>
  <c r="J19" i="5" s="1"/>
  <c r="C13" i="5"/>
  <c r="D25" i="4"/>
  <c r="D29" i="4" s="1"/>
  <c r="L19" i="5"/>
  <c r="H19" i="5"/>
  <c r="I19" i="5"/>
  <c r="K11" i="5"/>
  <c r="H11" i="5"/>
  <c r="D23" i="4"/>
  <c r="G18" i="4"/>
  <c r="E18" i="4"/>
  <c r="E17" i="4" s="1"/>
  <c r="H8" i="5" s="1"/>
  <c r="B12" i="4" l="1"/>
  <c r="J11" i="5"/>
  <c r="I11" i="5"/>
  <c r="K17" i="5"/>
  <c r="J17" i="5"/>
  <c r="I17" i="5"/>
  <c r="L17" i="5"/>
  <c r="B13" i="4"/>
  <c r="H18" i="5"/>
  <c r="H20" i="5" s="1"/>
  <c r="E22" i="4"/>
  <c r="E24" i="4" s="1"/>
  <c r="J13" i="5"/>
  <c r="I13" i="5"/>
  <c r="L13" i="5"/>
  <c r="K13" i="5"/>
  <c r="H13" i="5"/>
  <c r="H12" i="5" s="1"/>
  <c r="H10" i="5"/>
  <c r="K19" i="5"/>
  <c r="F17" i="4"/>
  <c r="E28" i="4"/>
  <c r="H14" i="5" l="1"/>
  <c r="H23" i="5" s="1"/>
  <c r="E25" i="4"/>
  <c r="G17" i="4"/>
  <c r="F28" i="4"/>
  <c r="I8" i="5"/>
  <c r="I16" i="5" s="1"/>
  <c r="F22" i="4"/>
  <c r="G24" i="5" l="1"/>
  <c r="H24" i="5"/>
  <c r="E27" i="4" s="1"/>
  <c r="I10" i="5"/>
  <c r="I18" i="5"/>
  <c r="I20" i="5" s="1"/>
  <c r="H17" i="4"/>
  <c r="G28" i="4"/>
  <c r="I12" i="5"/>
  <c r="I14" i="5" s="1"/>
  <c r="I23" i="5" s="1"/>
  <c r="I24" i="5" s="1"/>
  <c r="F27" i="4" s="1"/>
  <c r="F24" i="4"/>
  <c r="F25" i="4"/>
  <c r="J8" i="5"/>
  <c r="G22" i="4"/>
  <c r="G24" i="4" l="1"/>
  <c r="G25" i="4" s="1"/>
  <c r="J10" i="5"/>
  <c r="J18" i="5"/>
  <c r="J16" i="5"/>
  <c r="J12" i="5"/>
  <c r="J14" i="5" s="1"/>
  <c r="I17" i="4"/>
  <c r="H22" i="4"/>
  <c r="K8" i="5"/>
  <c r="H28" i="4"/>
  <c r="H24" i="4" l="1"/>
  <c r="H25" i="4" s="1"/>
  <c r="K16" i="5"/>
  <c r="K12" i="5"/>
  <c r="K14" i="5" s="1"/>
  <c r="K18" i="5"/>
  <c r="L8" i="5"/>
  <c r="I22" i="4"/>
  <c r="I24" i="4" s="1"/>
  <c r="I25" i="4" s="1"/>
  <c r="J20" i="5"/>
  <c r="J23" i="5" s="1"/>
  <c r="J24" i="5" s="1"/>
  <c r="G27" i="4" s="1"/>
  <c r="I28" i="4"/>
  <c r="I21" i="4" s="1"/>
  <c r="J21" i="4" s="1"/>
  <c r="E21" i="4" s="1"/>
  <c r="K10" i="5"/>
  <c r="K20" i="5" l="1"/>
  <c r="I26" i="4"/>
  <c r="I20" i="4"/>
  <c r="L10" i="5"/>
  <c r="L18" i="5"/>
  <c r="L12" i="5"/>
  <c r="L14" i="5" s="1"/>
  <c r="L16" i="5"/>
  <c r="K23" i="5"/>
  <c r="K24" i="5" s="1"/>
  <c r="H27" i="4" s="1"/>
  <c r="E26" i="4"/>
  <c r="E29" i="4" s="1"/>
  <c r="F21" i="4"/>
  <c r="E19" i="4"/>
  <c r="E20" i="4" s="1"/>
  <c r="L20" i="5" l="1"/>
  <c r="L23" i="5" s="1"/>
  <c r="L24" i="5" s="1"/>
  <c r="I27" i="4" s="1"/>
  <c r="I29" i="4" s="1"/>
  <c r="F26" i="4"/>
  <c r="F29" i="4" s="1"/>
  <c r="F31" i="4" s="1"/>
  <c r="G21" i="4"/>
  <c r="F19" i="4"/>
  <c r="F20" i="4" s="1"/>
  <c r="F4" i="4" l="1"/>
  <c r="F5" i="4" s="1"/>
  <c r="I31" i="4"/>
  <c r="H21" i="4"/>
  <c r="G19" i="4"/>
  <c r="G26" i="4"/>
  <c r="G29" i="4" s="1"/>
  <c r="G31" i="4" s="1"/>
  <c r="G20" i="4"/>
  <c r="H26" i="4" l="1"/>
  <c r="H29" i="4" s="1"/>
  <c r="H31" i="4" s="1"/>
  <c r="I3" i="4" s="1"/>
  <c r="I6" i="4" s="1"/>
  <c r="H19" i="4"/>
  <c r="H20" i="4" s="1"/>
  <c r="F3" i="4" l="1"/>
  <c r="F6" i="4" s="1"/>
  <c r="F8" i="4" s="1"/>
  <c r="F10" i="4" s="1"/>
  <c r="I8" i="4"/>
  <c r="I10" i="4" s="1"/>
  <c r="T7" i="4" s="1"/>
  <c r="L7" i="4" l="1"/>
  <c r="F12" i="4"/>
  <c r="I12" i="4"/>
</calcChain>
</file>

<file path=xl/sharedStrings.xml><?xml version="1.0" encoding="utf-8"?>
<sst xmlns="http://schemas.openxmlformats.org/spreadsheetml/2006/main" count="383" uniqueCount="303">
  <si>
    <t>Assumptions</t>
  </si>
  <si>
    <t>Ticker</t>
  </si>
  <si>
    <t>AAPL</t>
  </si>
  <si>
    <t>Perpetuity Growth Method</t>
  </si>
  <si>
    <t>Multiples Method</t>
  </si>
  <si>
    <t>share price</t>
  </si>
  <si>
    <t>Projection Period  FCF</t>
  </si>
  <si>
    <t>shares oustanding</t>
  </si>
  <si>
    <t>Terminal Value</t>
  </si>
  <si>
    <t>cash</t>
  </si>
  <si>
    <t>Discounted Terminal Val</t>
  </si>
  <si>
    <t>debt</t>
  </si>
  <si>
    <t>Enterprise Val</t>
  </si>
  <si>
    <t>Perpetuity Growth</t>
  </si>
  <si>
    <t>Terminal Multiple</t>
  </si>
  <si>
    <t>effective tax rate</t>
  </si>
  <si>
    <t>(-) net debt</t>
  </si>
  <si>
    <t>perpetuity growth rate</t>
  </si>
  <si>
    <t>Equity value</t>
  </si>
  <si>
    <t>perpetuity step</t>
  </si>
  <si>
    <t>Diluted shares outstanding</t>
  </si>
  <si>
    <t>terminal multiple</t>
  </si>
  <si>
    <t>Implied price</t>
  </si>
  <si>
    <t>WACC</t>
  </si>
  <si>
    <t>terminal multiple step</t>
  </si>
  <si>
    <t>current price</t>
  </si>
  <si>
    <t>premium/discount to price</t>
  </si>
  <si>
    <t>blended WACC</t>
  </si>
  <si>
    <t>WACC Step</t>
  </si>
  <si>
    <t>DCF for fiscal year 2024</t>
  </si>
  <si>
    <t>Terminal Year</t>
  </si>
  <si>
    <t>$ in billions</t>
  </si>
  <si>
    <t>CAGR</t>
  </si>
  <si>
    <t>revenue</t>
  </si>
  <si>
    <t>% growth</t>
  </si>
  <si>
    <t>EBITDA</t>
  </si>
  <si>
    <t>% margin</t>
  </si>
  <si>
    <t>(-) D&amp;A</t>
  </si>
  <si>
    <t>EBIT</t>
  </si>
  <si>
    <t>% Margin</t>
  </si>
  <si>
    <t>(-) Taxes</t>
  </si>
  <si>
    <t>NOPAT</t>
  </si>
  <si>
    <t>(+) D&amp;A</t>
  </si>
  <si>
    <t>(+/-) delta NWC</t>
  </si>
  <si>
    <t>(-) capex</t>
  </si>
  <si>
    <t>Unlevered FCF</t>
  </si>
  <si>
    <t>time factor</t>
  </si>
  <si>
    <t>PV</t>
  </si>
  <si>
    <t>Apple Inc. (AAPL)</t>
  </si>
  <si>
    <t>$198.51</t>
  </si>
  <si>
    <t>apple dcf comps</t>
  </si>
  <si>
    <t>Company</t>
  </si>
  <si>
    <t>Fiscal</t>
  </si>
  <si>
    <t>EV/</t>
  </si>
  <si>
    <t>Name</t>
  </si>
  <si>
    <t>Period</t>
  </si>
  <si>
    <t>EBITDA (x)</t>
  </si>
  <si>
    <t>EBIT (x)</t>
  </si>
  <si>
    <t>P/E (x)</t>
  </si>
  <si>
    <t>ROA (%)</t>
  </si>
  <si>
    <t>ROE (%)</t>
  </si>
  <si>
    <t>ROIC (%)</t>
  </si>
  <si>
    <t>Margin (%)</t>
  </si>
  <si>
    <t>Apple</t>
  </si>
  <si>
    <t>AAPL-US</t>
  </si>
  <si>
    <t>03/29/2025</t>
  </si>
  <si>
    <t>Samsung Electronics</t>
  </si>
  <si>
    <t>005930-KR</t>
  </si>
  <si>
    <t>12/2024</t>
  </si>
  <si>
    <t>Microsoft</t>
  </si>
  <si>
    <t>MSFT-US</t>
  </si>
  <si>
    <t>03/31/2025</t>
  </si>
  <si>
    <t>NVIDIA</t>
  </si>
  <si>
    <t>NVDA-US</t>
  </si>
  <si>
    <t>37.64x</t>
  </si>
  <si>
    <t>38.50x</t>
  </si>
  <si>
    <t>44.22x</t>
  </si>
  <si>
    <t>Amazon.com</t>
  </si>
  <si>
    <t>AMZN-US</t>
  </si>
  <si>
    <t>17.95x</t>
  </si>
  <si>
    <t>31.66x</t>
  </si>
  <si>
    <t>34.47x</t>
  </si>
  <si>
    <t>Alphabet A</t>
  </si>
  <si>
    <t>GOOGL-US</t>
  </si>
  <si>
    <t>median</t>
  </si>
  <si>
    <t>implied share price</t>
  </si>
  <si>
    <t>shares outstanding</t>
  </si>
  <si>
    <t>net income</t>
  </si>
  <si>
    <t>z</t>
  </si>
  <si>
    <t>forecast parameters</t>
  </si>
  <si>
    <t>AR as % of sales</t>
  </si>
  <si>
    <t>Inventory as % of sales</t>
  </si>
  <si>
    <t>AP as % of sales</t>
  </si>
  <si>
    <t>Other payables as % of sales</t>
  </si>
  <si>
    <t>AR</t>
  </si>
  <si>
    <t>% of sales</t>
  </si>
  <si>
    <t>Inventory</t>
  </si>
  <si>
    <t>Current Assets</t>
  </si>
  <si>
    <t>AP</t>
  </si>
  <si>
    <t>% of Sales</t>
  </si>
  <si>
    <t>Other Payables</t>
  </si>
  <si>
    <t>Current Liabilities</t>
  </si>
  <si>
    <t>NWC</t>
  </si>
  <si>
    <t>change in NWC</t>
  </si>
  <si>
    <t>cost of equity</t>
  </si>
  <si>
    <t>risk free</t>
  </si>
  <si>
    <t>&lt;- 3-5 yr t bond yield</t>
  </si>
  <si>
    <t>beta</t>
  </si>
  <si>
    <t>equity risk prem</t>
  </si>
  <si>
    <t>&lt;- S&amp;P 500 - risk free rate</t>
  </si>
  <si>
    <t>cost of debt</t>
  </si>
  <si>
    <t>tax rate</t>
  </si>
  <si>
    <t>after tax cost of debt</t>
  </si>
  <si>
    <t>capital structure</t>
  </si>
  <si>
    <t>market cap</t>
  </si>
  <si>
    <t>market value of debt</t>
  </si>
  <si>
    <t>% equity</t>
  </si>
  <si>
    <t>% debt</t>
  </si>
  <si>
    <t>Hurdle Rate</t>
  </si>
  <si>
    <t>Hurdle Wacc</t>
  </si>
  <si>
    <t>Apple Inc.</t>
  </si>
  <si>
    <t xml:space="preserve">AAPL   037833100   2046251   NASDAQ    Common stock    </t>
  </si>
  <si>
    <t>Source: FactSet Fundamentals</t>
  </si>
  <si>
    <t>SEP '24</t>
  </si>
  <si>
    <t>SEP '23</t>
  </si>
  <si>
    <t>SEP '22</t>
  </si>
  <si>
    <t>SEP '21</t>
  </si>
  <si>
    <t>SEP '20</t>
  </si>
  <si>
    <t>SEP '19</t>
  </si>
  <si>
    <t>SEP '18</t>
  </si>
  <si>
    <t>SEP '17</t>
  </si>
  <si>
    <t>SEP '16</t>
  </si>
  <si>
    <t>SEP '15</t>
  </si>
  <si>
    <t>compound annual growth rate</t>
  </si>
  <si>
    <t>Sales</t>
  </si>
  <si>
    <t>Cost of Goods Sold (COGS) incl. D&amp;A</t>
  </si>
  <si>
    <t>COGS excluding D&amp;A</t>
  </si>
  <si>
    <t>Depreciation &amp; Amortization Expense</t>
  </si>
  <si>
    <t>Depreciation</t>
  </si>
  <si>
    <t>Amortization of Intangibles</t>
  </si>
  <si>
    <t>Gross Income</t>
  </si>
  <si>
    <t>SG&amp;A Expense</t>
  </si>
  <si>
    <t>Research &amp; Development</t>
  </si>
  <si>
    <t>Other SG&amp;A</t>
  </si>
  <si>
    <t>EBIT (Operating Income)</t>
  </si>
  <si>
    <t>average ebit</t>
  </si>
  <si>
    <t>EBIT MARGIN</t>
  </si>
  <si>
    <t>Nonoperating Income - Net</t>
  </si>
  <si>
    <t>Nonoperating Interest Income</t>
  </si>
  <si>
    <t>Other Income (Expense)</t>
  </si>
  <si>
    <t>Interest Expense</t>
  </si>
  <si>
    <t>Gross Interest Expense</t>
  </si>
  <si>
    <t>Unusual Expense - Net</t>
  </si>
  <si>
    <t>Legal Claim Expense</t>
  </si>
  <si>
    <t>Unrealized Valuation Gain/Loss</t>
  </si>
  <si>
    <t>Hedges/Derivatives</t>
  </si>
  <si>
    <t>Pretax Income</t>
  </si>
  <si>
    <t>Income Taxes</t>
  </si>
  <si>
    <t>Income Taxes - Current Domestic</t>
  </si>
  <si>
    <t>Income Taxes - Current Foreign</t>
  </si>
  <si>
    <t>Income Taxes - Deferred Domestic</t>
  </si>
  <si>
    <t>Income Taxes - Deferred Foreign</t>
  </si>
  <si>
    <t>Consolidated Net Income</t>
  </si>
  <si>
    <t>Net Income</t>
  </si>
  <si>
    <t>Net Income available to Common</t>
  </si>
  <si>
    <t>Per Share</t>
  </si>
  <si>
    <t>EPS (recurring)</t>
  </si>
  <si>
    <t>EPS (basic)</t>
  </si>
  <si>
    <t>Basic Shares Outstanding (M)</t>
  </si>
  <si>
    <t>Total Shares Outstanding (M)</t>
  </si>
  <si>
    <t>EPS (diluted)</t>
  </si>
  <si>
    <t>Diluted Shares Outstanding (M)</t>
  </si>
  <si>
    <t>Earnings Persistence</t>
  </si>
  <si>
    <t>Dividends per Share</t>
  </si>
  <si>
    <t>Payout Ratio</t>
  </si>
  <si>
    <t>All figures in billions of U.S. Dollar except per share and labeled items.</t>
  </si>
  <si>
    <t>Assets</t>
  </si>
  <si>
    <t>Cash &amp; Short-Term Investments</t>
  </si>
  <si>
    <t>Cash Only</t>
  </si>
  <si>
    <t>Total Short Term Investments</t>
  </si>
  <si>
    <t>Short-Term Receivables</t>
  </si>
  <si>
    <t>Accounts Receivables, Net</t>
  </si>
  <si>
    <t>Accounts Receivables, Gross</t>
  </si>
  <si>
    <t>Bad Debt/Doubtful Accounts</t>
  </si>
  <si>
    <t>Other Receivables</t>
  </si>
  <si>
    <t>Inventories</t>
  </si>
  <si>
    <t>Finished Goods</t>
  </si>
  <si>
    <t>Other Current Assets</t>
  </si>
  <si>
    <t>Miscellaneous Current Assets</t>
  </si>
  <si>
    <t>Total Current Assets</t>
  </si>
  <si>
    <t>Net Property, Plant &amp; Equipment</t>
  </si>
  <si>
    <t>Property, Plant &amp; Equipment - Gross</t>
  </si>
  <si>
    <t>Buildings</t>
  </si>
  <si>
    <t>Machinery &amp; Equipment</t>
  </si>
  <si>
    <t>Other Property, Plant &amp; Equipment</t>
  </si>
  <si>
    <t>Operating Lease Right-of-Use Assets</t>
  </si>
  <si>
    <t>Accumulated Depreciation</t>
  </si>
  <si>
    <t xml:space="preserve">Total Long-Term Investments </t>
  </si>
  <si>
    <t>Other Long-Term Investments</t>
  </si>
  <si>
    <t>Intangible Assets</t>
  </si>
  <si>
    <t>Goodwill</t>
  </si>
  <si>
    <t>Other Intangible Assets</t>
  </si>
  <si>
    <t>Deferred Tax Assets</t>
  </si>
  <si>
    <t>Other Assets</t>
  </si>
  <si>
    <t>Tangible Other Assets</t>
  </si>
  <si>
    <t>Total Assets</t>
  </si>
  <si>
    <t>Liabilities &amp; Shareholders' Equity</t>
  </si>
  <si>
    <t>Current</t>
  </si>
  <si>
    <t>ST Debt &amp; Curr. Portion LT Debt</t>
  </si>
  <si>
    <t>Accounts Payable</t>
  </si>
  <si>
    <t>Income Tax Payable</t>
  </si>
  <si>
    <t>Other Current Liabilities</t>
  </si>
  <si>
    <t>Miscellaneous Current Liabilities</t>
  </si>
  <si>
    <t>Total Current Liabilities</t>
  </si>
  <si>
    <t>Long-Term</t>
  </si>
  <si>
    <t>Long-Term Debt</t>
  </si>
  <si>
    <t>Long-Term Debt excl Lease Obligations</t>
  </si>
  <si>
    <t>Capital and Operating Lease Obligations</t>
  </si>
  <si>
    <t>Provision for Risks &amp; Charges</t>
  </si>
  <si>
    <t>Deferred Tax Liabilities</t>
  </si>
  <si>
    <t>Other Liabilities</t>
  </si>
  <si>
    <t>Other Liabilities (excl. Deferred Income)</t>
  </si>
  <si>
    <t>Deferred Income</t>
  </si>
  <si>
    <t>Total Liabilities</t>
  </si>
  <si>
    <t>Equity</t>
  </si>
  <si>
    <t>Common Equity</t>
  </si>
  <si>
    <t>Common Stock Par/Carry Value</t>
  </si>
  <si>
    <t>Retained Earnings</t>
  </si>
  <si>
    <t>Cumulative Translation Adjustment/Unrealized For. Exch. Gain</t>
  </si>
  <si>
    <t>Unrealized Gain/Loss Marketable Securities</t>
  </si>
  <si>
    <t>Other Appropriated Reserves</t>
  </si>
  <si>
    <t>Total Shareholders' Equity</t>
  </si>
  <si>
    <t>Total Equity</t>
  </si>
  <si>
    <t>Total Liabilities &amp; Shareholders' Equity</t>
  </si>
  <si>
    <t>Book Value per Share</t>
  </si>
  <si>
    <t>Tangible Book Value per Share</t>
  </si>
  <si>
    <t>All figures in billions of U.S. Dollar except per share items.</t>
  </si>
  <si>
    <t>Operating Activities</t>
  </si>
  <si>
    <t>Net Income / Starting Line</t>
  </si>
  <si>
    <t>Depreciation, Depletion &amp; Amortization</t>
  </si>
  <si>
    <t>Depreciation and Depletion</t>
  </si>
  <si>
    <t>Amortization of Intangible Assets</t>
  </si>
  <si>
    <t>Deferred Taxes &amp; Investment Tax Credit</t>
  </si>
  <si>
    <t>Deferred Taxes</t>
  </si>
  <si>
    <t>Other Funds</t>
  </si>
  <si>
    <t>Funds from Operations</t>
  </si>
  <si>
    <t>Changes in Working Capital</t>
  </si>
  <si>
    <t>Receivables</t>
  </si>
  <si>
    <t>Other Assets/Liabilities</t>
  </si>
  <si>
    <t>Net Operating Cash Flow</t>
  </si>
  <si>
    <t>Investing Activities</t>
  </si>
  <si>
    <t>Capital Expenditures</t>
  </si>
  <si>
    <t>avg capex</t>
  </si>
  <si>
    <t>capex/sales</t>
  </si>
  <si>
    <t>Capital Expenditures (Fixed Assets)</t>
  </si>
  <si>
    <t>Capital Expenditures (Other Assets)</t>
  </si>
  <si>
    <t>Net Assets from Acquisitions</t>
  </si>
  <si>
    <t>Purchase/Sale of Investments</t>
  </si>
  <si>
    <t>Purchase of Investments</t>
  </si>
  <si>
    <t>Sale/Maturity of Investments</t>
  </si>
  <si>
    <t>Other Uses</t>
  </si>
  <si>
    <t>Other Sources</t>
  </si>
  <si>
    <t>Net Investing Cash Flow</t>
  </si>
  <si>
    <t>Financing Activities</t>
  </si>
  <si>
    <t>Cash Dividends Paid</t>
  </si>
  <si>
    <t>Common Dividends</t>
  </si>
  <si>
    <t>Change in Capital Stock</t>
  </si>
  <si>
    <t>Repurchase of Common &amp; Preferred Stk.</t>
  </si>
  <si>
    <t>Sale of Common &amp; Preferred Stock</t>
  </si>
  <si>
    <t>Proceeds from Sale of Stock</t>
  </si>
  <si>
    <t>Issuance/Reduction of Debt, Net</t>
  </si>
  <si>
    <t>Change in Current Debt</t>
  </si>
  <si>
    <t>Change in Long-Term Debt</t>
  </si>
  <si>
    <t>Issuance of Long-Term Debt</t>
  </si>
  <si>
    <t>Reduction in Long-Term Debt</t>
  </si>
  <si>
    <t>Net Financing Cash Flow</t>
  </si>
  <si>
    <t>All Activities</t>
  </si>
  <si>
    <t>Net Change in Cash</t>
  </si>
  <si>
    <t>Free Cash Flow</t>
  </si>
  <si>
    <t>Free Cash Flow per Share</t>
  </si>
  <si>
    <t>Free Cash Flow Yield (%)</t>
  </si>
  <si>
    <t>move pink slider to see sensitivity analysis for interest rates changes or change number in yellow highlighted cell</t>
  </si>
  <si>
    <t>t</t>
  </si>
  <si>
    <t>cf</t>
  </si>
  <si>
    <t>discounted</t>
  </si>
  <si>
    <t>duration</t>
  </si>
  <si>
    <t>modified duration</t>
  </si>
  <si>
    <t>new t</t>
  </si>
  <si>
    <t>convexity</t>
  </si>
  <si>
    <t>(annuals</t>
  </si>
  <si>
    <t>delta y</t>
  </si>
  <si>
    <t>current yield</t>
  </si>
  <si>
    <t>new yield</t>
  </si>
  <si>
    <t>old price</t>
  </si>
  <si>
    <t>new price</t>
  </si>
  <si>
    <t>new price w convexity</t>
  </si>
  <si>
    <t>slope semi</t>
  </si>
  <si>
    <t>slope annual</t>
  </si>
  <si>
    <t>price</t>
  </si>
  <si>
    <t>modified dur</t>
  </si>
  <si>
    <t>yield</t>
  </si>
  <si>
    <t>annual convex</t>
  </si>
  <si>
    <t>slope convex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</si>
</sst>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.000"/>
    <numFmt numFmtId="165" formatCode="#,##0.0\%"/>
    <numFmt numFmtId="166" formatCode="#,##0.00\x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b/>
      <sz val="10"/>
      <color rgb="FF003366"/>
      <name val="Arial"/>
      <family val="2"/>
    </font>
    <font>
      <sz val="10"/>
      <color rgb="FFFF0000"/>
      <name val="Arial"/>
      <family val="2"/>
    </font>
    <font>
      <sz val="10"/>
      <color rgb="FF646464"/>
      <name val="Arial"/>
      <family val="2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sz val="11"/>
      <color rgb="FFFF0000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8C8C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0F0F0"/>
        <bgColor rgb="FF000000"/>
      </patternFill>
    </fill>
  </fills>
  <borders count="2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9">
    <xf numFmtId="0" fontId="0" fillId="0" borderId="0" xfId="0"/>
    <xf numFmtId="0" fontId="3" fillId="0" borderId="0" xfId="0" applyFont="1"/>
    <xf numFmtId="0" fontId="0" fillId="0" borderId="1" xfId="0" applyBorder="1"/>
    <xf numFmtId="0" fontId="0" fillId="0" borderId="2" xfId="0" applyBorder="1"/>
    <xf numFmtId="0" fontId="3" fillId="2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0" fontId="4" fillId="3" borderId="0" xfId="0" applyFont="1" applyFill="1" applyAlignment="1">
      <alignment horizontal="left" indent="3"/>
    </xf>
    <xf numFmtId="4" fontId="4" fillId="3" borderId="0" xfId="0" applyNumberFormat="1" applyFont="1" applyFill="1" applyAlignment="1">
      <alignment horizontal="right"/>
    </xf>
    <xf numFmtId="0" fontId="0" fillId="0" borderId="0" xfId="0" applyAlignment="1">
      <alignment horizontal="left" indent="4"/>
    </xf>
    <xf numFmtId="4" fontId="0" fillId="0" borderId="0" xfId="0" applyNumberFormat="1" applyAlignment="1">
      <alignment horizontal="right"/>
    </xf>
    <xf numFmtId="0" fontId="0" fillId="3" borderId="0" xfId="0" applyFill="1" applyAlignment="1">
      <alignment horizontal="left" indent="4"/>
    </xf>
    <xf numFmtId="4" fontId="0" fillId="3" borderId="0" xfId="0" applyNumberFormat="1" applyFill="1" applyAlignment="1">
      <alignment horizontal="right"/>
    </xf>
    <xf numFmtId="0" fontId="4" fillId="0" borderId="0" xfId="0" applyFont="1" applyAlignment="1">
      <alignment horizontal="left" indent="3"/>
    </xf>
    <xf numFmtId="4" fontId="4" fillId="0" borderId="0" xfId="0" applyNumberFormat="1" applyFont="1" applyAlignment="1">
      <alignment horizontal="right"/>
    </xf>
    <xf numFmtId="0" fontId="4" fillId="3" borderId="0" xfId="0" applyFont="1" applyFill="1" applyAlignment="1">
      <alignment horizontal="left" indent="6"/>
    </xf>
    <xf numFmtId="0" fontId="0" fillId="0" borderId="0" xfId="0" applyAlignment="1">
      <alignment horizontal="left" indent="7"/>
    </xf>
    <xf numFmtId="0" fontId="0" fillId="3" borderId="0" xfId="0" applyFill="1" applyAlignment="1">
      <alignment horizontal="left" indent="7"/>
    </xf>
    <xf numFmtId="0" fontId="0" fillId="3" borderId="0" xfId="0" applyFill="1" applyAlignment="1">
      <alignment horizontal="left"/>
    </xf>
    <xf numFmtId="4" fontId="5" fillId="3" borderId="0" xfId="0" applyNumberFormat="1" applyFont="1" applyFill="1" applyAlignment="1">
      <alignment horizontal="right"/>
    </xf>
    <xf numFmtId="0" fontId="0" fillId="3" borderId="0" xfId="0" applyFill="1" applyAlignment="1">
      <alignment horizontal="left" indent="1"/>
    </xf>
    <xf numFmtId="0" fontId="4" fillId="3" borderId="0" xfId="0" applyFont="1" applyFill="1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4" fillId="0" borderId="0" xfId="0" applyFont="1" applyAlignment="1">
      <alignment horizontal="left" indent="6"/>
    </xf>
    <xf numFmtId="4" fontId="5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4" fontId="0" fillId="0" borderId="0" xfId="0" applyNumberFormat="1"/>
    <xf numFmtId="0" fontId="7" fillId="0" borderId="4" xfId="0" applyFon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4" borderId="5" xfId="0" applyFill="1" applyBorder="1"/>
    <xf numFmtId="0" fontId="0" fillId="4" borderId="6" xfId="0" applyFill="1" applyBorder="1"/>
    <xf numFmtId="0" fontId="2" fillId="5" borderId="7" xfId="0" applyFont="1" applyFill="1" applyBorder="1"/>
    <xf numFmtId="0" fontId="0" fillId="5" borderId="8" xfId="0" applyFill="1" applyBorder="1"/>
    <xf numFmtId="0" fontId="2" fillId="5" borderId="8" xfId="0" applyFont="1" applyFill="1" applyBorder="1"/>
    <xf numFmtId="0" fontId="0" fillId="5" borderId="9" xfId="0" applyFill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4" fontId="0" fillId="0" borderId="10" xfId="0" applyNumberFormat="1" applyBorder="1"/>
    <xf numFmtId="0" fontId="0" fillId="0" borderId="16" xfId="0" applyBorder="1"/>
    <xf numFmtId="44" fontId="0" fillId="0" borderId="0" xfId="1" applyFont="1" applyBorder="1"/>
    <xf numFmtId="44" fontId="0" fillId="0" borderId="10" xfId="1" applyFont="1" applyBorder="1"/>
    <xf numFmtId="44" fontId="0" fillId="0" borderId="11" xfId="1" applyFont="1" applyBorder="1"/>
    <xf numFmtId="44" fontId="0" fillId="0" borderId="16" xfId="1" applyFont="1" applyBorder="1"/>
    <xf numFmtId="9" fontId="0" fillId="0" borderId="0" xfId="2" applyFont="1"/>
    <xf numFmtId="10" fontId="0" fillId="0" borderId="0" xfId="2" applyNumberFormat="1" applyFont="1"/>
    <xf numFmtId="10" fontId="0" fillId="0" borderId="0" xfId="1" applyNumberFormat="1" applyFont="1" applyBorder="1"/>
    <xf numFmtId="44" fontId="0" fillId="8" borderId="11" xfId="1" applyFont="1" applyFill="1" applyBorder="1"/>
    <xf numFmtId="0" fontId="0" fillId="0" borderId="7" xfId="0" applyBorder="1"/>
    <xf numFmtId="0" fontId="0" fillId="7" borderId="3" xfId="0" applyFill="1" applyBorder="1"/>
    <xf numFmtId="10" fontId="0" fillId="0" borderId="0" xfId="2" applyNumberFormat="1" applyFont="1" applyBorder="1"/>
    <xf numFmtId="10" fontId="0" fillId="0" borderId="8" xfId="2" applyNumberFormat="1" applyFont="1" applyBorder="1"/>
    <xf numFmtId="10" fontId="0" fillId="0" borderId="10" xfId="2" applyNumberFormat="1" applyFont="1" applyBorder="1"/>
    <xf numFmtId="0" fontId="0" fillId="0" borderId="0" xfId="0" applyAlignment="1">
      <alignment wrapText="1"/>
    </xf>
    <xf numFmtId="10" fontId="0" fillId="0" borderId="9" xfId="2" applyNumberFormat="1" applyFont="1" applyBorder="1"/>
    <xf numFmtId="0" fontId="0" fillId="4" borderId="17" xfId="0" applyFill="1" applyBorder="1"/>
    <xf numFmtId="0" fontId="0" fillId="0" borderId="18" xfId="0" applyBorder="1"/>
    <xf numFmtId="10" fontId="0" fillId="0" borderId="18" xfId="2" applyNumberFormat="1" applyFont="1" applyBorder="1"/>
    <xf numFmtId="0" fontId="2" fillId="5" borderId="3" xfId="0" applyFont="1" applyFill="1" applyBorder="1"/>
    <xf numFmtId="44" fontId="0" fillId="0" borderId="5" xfId="1" applyFont="1" applyFill="1" applyBorder="1"/>
    <xf numFmtId="44" fontId="0" fillId="0" borderId="0" xfId="1" applyFont="1" applyFill="1" applyBorder="1"/>
    <xf numFmtId="10" fontId="0" fillId="0" borderId="0" xfId="1" applyNumberFormat="1" applyFont="1" applyFill="1" applyBorder="1"/>
    <xf numFmtId="44" fontId="0" fillId="0" borderId="16" xfId="1" applyFont="1" applyFill="1" applyBorder="1"/>
    <xf numFmtId="10" fontId="0" fillId="0" borderId="0" xfId="2" applyNumberFormat="1" applyFont="1" applyFill="1" applyBorder="1"/>
    <xf numFmtId="44" fontId="0" fillId="0" borderId="19" xfId="0" applyNumberFormat="1" applyBorder="1"/>
    <xf numFmtId="10" fontId="0" fillId="0" borderId="18" xfId="0" applyNumberFormat="1" applyBorder="1"/>
    <xf numFmtId="44" fontId="0" fillId="0" borderId="18" xfId="0" applyNumberFormat="1" applyBorder="1"/>
    <xf numFmtId="10" fontId="0" fillId="0" borderId="0" xfId="0" applyNumberFormat="1"/>
    <xf numFmtId="10" fontId="0" fillId="0" borderId="10" xfId="0" applyNumberFormat="1" applyBorder="1"/>
    <xf numFmtId="44" fontId="0" fillId="10" borderId="0" xfId="1" applyFont="1" applyFill="1" applyBorder="1"/>
    <xf numFmtId="0" fontId="0" fillId="0" borderId="11" xfId="1" applyNumberFormat="1" applyFont="1" applyBorder="1"/>
    <xf numFmtId="44" fontId="0" fillId="0" borderId="0" xfId="0" applyNumberFormat="1"/>
    <xf numFmtId="44" fontId="0" fillId="0" borderId="10" xfId="0" applyNumberFormat="1" applyBorder="1"/>
    <xf numFmtId="10" fontId="0" fillId="0" borderId="12" xfId="2" applyNumberFormat="1" applyFont="1" applyBorder="1"/>
    <xf numFmtId="165" fontId="0" fillId="3" borderId="0" xfId="0" applyNumberFormat="1" applyFill="1" applyAlignment="1">
      <alignment horizontal="right"/>
    </xf>
    <xf numFmtId="165" fontId="0" fillId="0" borderId="0" xfId="0" applyNumberFormat="1" applyAlignment="1">
      <alignment horizontal="right"/>
    </xf>
    <xf numFmtId="166" fontId="0" fillId="3" borderId="0" xfId="0" applyNumberFormat="1" applyFill="1" applyAlignment="1">
      <alignment horizontal="right"/>
    </xf>
    <xf numFmtId="166" fontId="0" fillId="0" borderId="0" xfId="0" applyNumberFormat="1" applyAlignment="1">
      <alignment horizontal="right"/>
    </xf>
    <xf numFmtId="166" fontId="0" fillId="0" borderId="0" xfId="0" applyNumberFormat="1"/>
    <xf numFmtId="44" fontId="0" fillId="0" borderId="0" xfId="1" applyFont="1"/>
    <xf numFmtId="0" fontId="0" fillId="5" borderId="0" xfId="0" applyFill="1"/>
    <xf numFmtId="0" fontId="0" fillId="12" borderId="0" xfId="0" applyFill="1"/>
    <xf numFmtId="10" fontId="0" fillId="0" borderId="15" xfId="0" applyNumberFormat="1" applyBorder="1"/>
    <xf numFmtId="2" fontId="0" fillId="0" borderId="10" xfId="0" applyNumberFormat="1" applyBorder="1"/>
    <xf numFmtId="2" fontId="0" fillId="0" borderId="5" xfId="0" applyNumberFormat="1" applyBorder="1"/>
    <xf numFmtId="164" fontId="0" fillId="0" borderId="5" xfId="0" applyNumberFormat="1" applyBorder="1"/>
    <xf numFmtId="0" fontId="9" fillId="0" borderId="0" xfId="0" applyFont="1"/>
    <xf numFmtId="0" fontId="9" fillId="13" borderId="0" xfId="0" applyFont="1" applyFill="1"/>
    <xf numFmtId="10" fontId="9" fillId="13" borderId="0" xfId="0" applyNumberFormat="1" applyFont="1" applyFill="1"/>
    <xf numFmtId="0" fontId="10" fillId="0" borderId="0" xfId="0" applyFont="1"/>
    <xf numFmtId="10" fontId="0" fillId="3" borderId="0" xfId="0" applyNumberFormat="1" applyFill="1" applyAlignment="1">
      <alignment horizontal="left"/>
    </xf>
    <xf numFmtId="10" fontId="0" fillId="3" borderId="0" xfId="0" applyNumberFormat="1" applyFill="1" applyAlignment="1">
      <alignment horizontal="right"/>
    </xf>
    <xf numFmtId="14" fontId="0" fillId="0" borderId="0" xfId="0" applyNumberFormat="1" applyAlignment="1">
      <alignment horizontal="left"/>
    </xf>
    <xf numFmtId="14" fontId="0" fillId="3" borderId="0" xfId="0" applyNumberFormat="1" applyFill="1" applyAlignment="1">
      <alignment horizontal="left"/>
    </xf>
    <xf numFmtId="0" fontId="2" fillId="9" borderId="0" xfId="0" applyFont="1" applyFill="1"/>
    <xf numFmtId="0" fontId="11" fillId="9" borderId="0" xfId="0" applyFont="1" applyFill="1"/>
    <xf numFmtId="0" fontId="11" fillId="4" borderId="13" xfId="0" applyFont="1" applyFill="1" applyBorder="1"/>
    <xf numFmtId="0" fontId="11" fillId="4" borderId="20" xfId="0" applyFont="1" applyFill="1" applyBorder="1"/>
    <xf numFmtId="0" fontId="11" fillId="4" borderId="14" xfId="0" applyFont="1" applyFill="1" applyBorder="1"/>
    <xf numFmtId="0" fontId="11" fillId="0" borderId="0" xfId="0" applyFont="1"/>
    <xf numFmtId="0" fontId="0" fillId="4" borderId="15" xfId="0" applyFill="1" applyBorder="1"/>
    <xf numFmtId="0" fontId="0" fillId="4" borderId="0" xfId="0" applyFill="1"/>
    <xf numFmtId="0" fontId="0" fillId="4" borderId="10" xfId="0" applyFill="1" applyBorder="1"/>
    <xf numFmtId="0" fontId="0" fillId="8" borderId="0" xfId="0" applyFill="1"/>
    <xf numFmtId="0" fontId="0" fillId="4" borderId="16" xfId="0" applyFill="1" applyBorder="1"/>
    <xf numFmtId="0" fontId="0" fillId="4" borderId="11" xfId="0" applyFill="1" applyBorder="1"/>
    <xf numFmtId="0" fontId="0" fillId="4" borderId="12" xfId="0" applyFill="1" applyBorder="1"/>
    <xf numFmtId="0" fontId="2" fillId="0" borderId="0" xfId="0" applyFont="1"/>
    <xf numFmtId="0" fontId="0" fillId="0" borderId="20" xfId="0" applyBorder="1"/>
    <xf numFmtId="0" fontId="2" fillId="0" borderId="15" xfId="0" applyFont="1" applyBorder="1"/>
    <xf numFmtId="0" fontId="2" fillId="0" borderId="8" xfId="0" applyFont="1" applyBorder="1"/>
    <xf numFmtId="0" fontId="2" fillId="0" borderId="10" xfId="0" applyFont="1" applyBorder="1"/>
    <xf numFmtId="10" fontId="0" fillId="0" borderId="15" xfId="2" applyNumberFormat="1" applyFont="1" applyBorder="1"/>
    <xf numFmtId="44" fontId="0" fillId="0" borderId="8" xfId="0" applyNumberFormat="1" applyBorder="1"/>
    <xf numFmtId="2" fontId="0" fillId="0" borderId="0" xfId="0" applyNumberFormat="1"/>
    <xf numFmtId="0" fontId="2" fillId="0" borderId="13" xfId="0" applyFont="1" applyBorder="1"/>
    <xf numFmtId="0" fontId="2" fillId="0" borderId="20" xfId="0" applyFont="1" applyBorder="1"/>
    <xf numFmtId="0" fontId="2" fillId="0" borderId="14" xfId="0" applyFont="1" applyBorder="1"/>
    <xf numFmtId="0" fontId="2" fillId="0" borderId="16" xfId="0" applyFont="1" applyBorder="1"/>
    <xf numFmtId="0" fontId="0" fillId="0" borderId="12" xfId="0" applyBorder="1"/>
    <xf numFmtId="10" fontId="0" fillId="0" borderId="16" xfId="2" applyNumberFormat="1" applyFont="1" applyBorder="1"/>
    <xf numFmtId="10" fontId="0" fillId="0" borderId="11" xfId="2" applyNumberFormat="1" applyFont="1" applyBorder="1"/>
    <xf numFmtId="10" fontId="0" fillId="0" borderId="11" xfId="0" applyNumberFormat="1" applyBorder="1"/>
    <xf numFmtId="44" fontId="0" fillId="0" borderId="9" xfId="0" applyNumberFormat="1" applyBorder="1"/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11" borderId="13" xfId="0" applyFill="1" applyBorder="1" applyAlignment="1">
      <alignment horizontal="center"/>
    </xf>
    <xf numFmtId="0" fontId="0" fillId="11" borderId="14" xfId="0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9" borderId="0" xfId="0" applyFill="1" applyAlignment="1">
      <alignment horizontal="center"/>
    </xf>
    <xf numFmtId="0" fontId="0" fillId="4" borderId="0" xfId="0" applyFill="1" applyAlignment="1">
      <alignment horizontal="center"/>
    </xf>
    <xf numFmtId="10" fontId="0" fillId="0" borderId="0" xfId="2" applyNumberFormat="1" applyFont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Price Yield Relationship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Price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[1]main!$D$51:$D$100</c:f>
              <c:numCache>
                <c:formatCode>General</c:formatCode>
                <c:ptCount val="50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6.0000000000000005E-2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9.9999999999999992E-2</c:v>
                </c:pt>
                <c:pt idx="11">
                  <c:v>0.10999999999999999</c:v>
                </c:pt>
                <c:pt idx="12">
                  <c:v>0.11999999999999998</c:v>
                </c:pt>
                <c:pt idx="13">
                  <c:v>0.12999999999999998</c:v>
                </c:pt>
                <c:pt idx="14">
                  <c:v>0.13999999999999999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0.18000000000000002</c:v>
                </c:pt>
                <c:pt idx="19">
                  <c:v>0.19000000000000003</c:v>
                </c:pt>
                <c:pt idx="20">
                  <c:v>0.20000000000000004</c:v>
                </c:pt>
                <c:pt idx="21">
                  <c:v>0.21000000000000005</c:v>
                </c:pt>
                <c:pt idx="22">
                  <c:v>0.22000000000000006</c:v>
                </c:pt>
                <c:pt idx="23">
                  <c:v>0.23000000000000007</c:v>
                </c:pt>
                <c:pt idx="24">
                  <c:v>0.24000000000000007</c:v>
                </c:pt>
                <c:pt idx="25">
                  <c:v>0.25000000000000006</c:v>
                </c:pt>
                <c:pt idx="26">
                  <c:v>0.26000000000000006</c:v>
                </c:pt>
                <c:pt idx="27">
                  <c:v>0.27000000000000007</c:v>
                </c:pt>
                <c:pt idx="28">
                  <c:v>0.28000000000000008</c:v>
                </c:pt>
                <c:pt idx="29">
                  <c:v>0.29000000000000009</c:v>
                </c:pt>
                <c:pt idx="30">
                  <c:v>0.3000000000000001</c:v>
                </c:pt>
                <c:pt idx="31">
                  <c:v>0.31000000000000011</c:v>
                </c:pt>
                <c:pt idx="32">
                  <c:v>0.32000000000000012</c:v>
                </c:pt>
                <c:pt idx="33">
                  <c:v>0.33000000000000013</c:v>
                </c:pt>
                <c:pt idx="34">
                  <c:v>0.34000000000000014</c:v>
                </c:pt>
                <c:pt idx="35">
                  <c:v>0.35000000000000014</c:v>
                </c:pt>
                <c:pt idx="36">
                  <c:v>0.36000000000000015</c:v>
                </c:pt>
                <c:pt idx="37">
                  <c:v>0.37000000000000016</c:v>
                </c:pt>
                <c:pt idx="38">
                  <c:v>0.38000000000000017</c:v>
                </c:pt>
                <c:pt idx="39">
                  <c:v>0.39000000000000018</c:v>
                </c:pt>
                <c:pt idx="40">
                  <c:v>0.40000000000000019</c:v>
                </c:pt>
                <c:pt idx="41">
                  <c:v>0.4100000000000002</c:v>
                </c:pt>
                <c:pt idx="42">
                  <c:v>0.42000000000000021</c:v>
                </c:pt>
                <c:pt idx="43">
                  <c:v>0.43000000000000022</c:v>
                </c:pt>
                <c:pt idx="44">
                  <c:v>0.44000000000000022</c:v>
                </c:pt>
                <c:pt idx="45">
                  <c:v>0.45000000000000023</c:v>
                </c:pt>
                <c:pt idx="46">
                  <c:v>0.46000000000000024</c:v>
                </c:pt>
                <c:pt idx="47">
                  <c:v>0.47000000000000025</c:v>
                </c:pt>
                <c:pt idx="48">
                  <c:v>0.48000000000000026</c:v>
                </c:pt>
                <c:pt idx="49">
                  <c:v>0.49000000000000027</c:v>
                </c:pt>
              </c:numCache>
            </c:numRef>
          </c:xVal>
          <c:yVal>
            <c:numRef>
              <c:f>[1]main!$E$51:$E$100</c:f>
              <c:numCache>
                <c:formatCode>General</c:formatCode>
                <c:ptCount val="50"/>
                <c:pt idx="0">
                  <c:v>1877.5</c:v>
                </c:pt>
                <c:pt idx="1">
                  <c:v>1618.6790575595683</c:v>
                </c:pt>
                <c:pt idx="2">
                  <c:v>1402.0379121886963</c:v>
                </c:pt>
                <c:pt idx="3">
                  <c:v>1220.2343716167836</c:v>
                </c:pt>
                <c:pt idx="4">
                  <c:v>1067.2564720638827</c:v>
                </c:pt>
                <c:pt idx="5">
                  <c:v>938.17413892902618</c:v>
                </c:pt>
                <c:pt idx="6">
                  <c:v>828.93838649925544</c:v>
                </c:pt>
                <c:pt idx="7">
                  <c:v>736.21875163621462</c:v>
                </c:pt>
                <c:pt idx="8">
                  <c:v>657.27151532163748</c:v>
                </c:pt>
                <c:pt idx="9">
                  <c:v>589.83274631817289</c:v>
                </c:pt>
                <c:pt idx="10">
                  <c:v>532.03138152841018</c:v>
                </c:pt>
                <c:pt idx="11">
                  <c:v>482.31849985030323</c:v>
                </c:pt>
                <c:pt idx="12">
                  <c:v>439.40969935688463</c:v>
                </c:pt>
                <c:pt idx="13">
                  <c:v>402.23809016822509</c:v>
                </c:pt>
                <c:pt idx="14">
                  <c:v>369.91589807290484</c:v>
                </c:pt>
                <c:pt idx="15">
                  <c:v>341.70306108555349</c:v>
                </c:pt>
                <c:pt idx="16">
                  <c:v>316.98151197435317</c:v>
                </c:pt>
                <c:pt idx="17">
                  <c:v>295.23408967734679</c:v>
                </c:pt>
                <c:pt idx="18">
                  <c:v>276.0272236352917</c:v>
                </c:pt>
                <c:pt idx="19">
                  <c:v>258.99669710802607</c:v>
                </c:pt>
                <c:pt idx="20">
                  <c:v>243.83592624973329</c:v>
                </c:pt>
                <c:pt idx="21">
                  <c:v>230.28629727403964</c:v>
                </c:pt>
                <c:pt idx="22">
                  <c:v>218.1291893793811</c:v>
                </c:pt>
                <c:pt idx="23">
                  <c:v>207.17938017841811</c:v>
                </c:pt>
                <c:pt idx="24">
                  <c:v>197.27958634588782</c:v>
                </c:pt>
                <c:pt idx="25">
                  <c:v>188.29593760379626</c:v>
                </c:pt>
                <c:pt idx="26">
                  <c:v>180.11421903729931</c:v>
                </c:pt>
                <c:pt idx="27">
                  <c:v>172.63674671524629</c:v>
                </c:pt>
                <c:pt idx="28">
                  <c:v>165.77976599228444</c:v>
                </c:pt>
                <c:pt idx="29">
                  <c:v>159.47128175474356</c:v>
                </c:pt>
                <c:pt idx="30">
                  <c:v>153.64924609466451</c:v>
                </c:pt>
                <c:pt idx="31">
                  <c:v>148.26004214509669</c:v>
                </c:pt>
                <c:pt idx="32">
                  <c:v>143.25721364226504</c:v>
                </c:pt>
                <c:pt idx="33">
                  <c:v>138.60039864713124</c:v>
                </c:pt>
                <c:pt idx="34">
                  <c:v>134.25443312505851</c:v>
                </c:pt>
                <c:pt idx="35">
                  <c:v>130.1885960435126</c:v>
                </c:pt>
                <c:pt idx="36">
                  <c:v>126.37597254387407</c:v>
                </c:pt>
                <c:pt idx="37">
                  <c:v>122.79291576945037</c:v>
                </c:pt>
                <c:pt idx="38">
                  <c:v>119.41859124604079</c:v>
                </c:pt>
                <c:pt idx="39">
                  <c:v>116.2345904429486</c:v>
                </c:pt>
                <c:pt idx="40">
                  <c:v>113.22460239618832</c:v>
                </c:pt>
                <c:pt idx="41">
                  <c:v>110.37413413754044</c:v>
                </c:pt>
                <c:pt idx="42">
                  <c:v>107.67027221300037</c:v>
                </c:pt>
                <c:pt idx="43">
                  <c:v>105.10147884928944</c:v>
                </c:pt>
                <c:pt idx="44">
                  <c:v>102.65741738419212</c:v>
                </c:pt>
                <c:pt idx="45">
                  <c:v>100.32880245392683</c:v>
                </c:pt>
                <c:pt idx="46">
                  <c:v>98.107271159932893</c:v>
                </c:pt>
                <c:pt idx="47">
                  <c:v>95.985272044188591</c:v>
                </c:pt>
                <c:pt idx="48">
                  <c:v>93.955969207629437</c:v>
                </c:pt>
                <c:pt idx="49">
                  <c:v>92.013159327864599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1FB-45F3-96D6-4C3170E284D7}"/>
            </c:ext>
          </c:extLst>
        </c:ser>
        <c:ser>
          <c:idx val="1"/>
          <c:order val="1"/>
          <c:tx>
            <c:strRef>
              <c:f>[1]main!$F$49</c:f>
              <c:strCache>
                <c:ptCount val="1"/>
                <c:pt idx="0">
                  <c:v>duration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[1]main!$N$44:$N$64</c:f>
              <c:numCache>
                <c:formatCode>General</c:formatCode>
                <c:ptCount val="21"/>
                <c:pt idx="0">
                  <c:v>-0.03</c:v>
                </c:pt>
                <c:pt idx="1">
                  <c:v>-2.0000000000000004E-2</c:v>
                </c:pt>
                <c:pt idx="2">
                  <c:v>-1.0000000000000009E-2</c:v>
                </c:pt>
                <c:pt idx="3">
                  <c:v>0</c:v>
                </c:pt>
                <c:pt idx="4">
                  <c:v>9.9999999999999881E-3</c:v>
                </c:pt>
                <c:pt idx="5">
                  <c:v>1.999999999999999E-2</c:v>
                </c:pt>
                <c:pt idx="6">
                  <c:v>2.9999999999999992E-2</c:v>
                </c:pt>
                <c:pt idx="7">
                  <c:v>3.9999999999999994E-2</c:v>
                </c:pt>
                <c:pt idx="8">
                  <c:v>4.9999999999999996E-2</c:v>
                </c:pt>
                <c:pt idx="9">
                  <c:v>0.06</c:v>
                </c:pt>
                <c:pt idx="10">
                  <c:v>7.0000000000000007E-2</c:v>
                </c:pt>
                <c:pt idx="11">
                  <c:v>0.08</c:v>
                </c:pt>
                <c:pt idx="12">
                  <c:v>9.0000000000000011E-2</c:v>
                </c:pt>
                <c:pt idx="13">
                  <c:v>0.1</c:v>
                </c:pt>
                <c:pt idx="14">
                  <c:v>0.11000000000000001</c:v>
                </c:pt>
                <c:pt idx="15">
                  <c:v>0.12000000000000001</c:v>
                </c:pt>
                <c:pt idx="16">
                  <c:v>0.13</c:v>
                </c:pt>
                <c:pt idx="17">
                  <c:v>0.14000000000000001</c:v>
                </c:pt>
                <c:pt idx="18">
                  <c:v>0.15000000000000002</c:v>
                </c:pt>
                <c:pt idx="19">
                  <c:v>0.16</c:v>
                </c:pt>
                <c:pt idx="20">
                  <c:v>0.16999999999999998</c:v>
                </c:pt>
              </c:numCache>
            </c:numRef>
          </c:xVal>
          <c:yVal>
            <c:numRef>
              <c:f>[1]main!$P$44:$P$64</c:f>
              <c:numCache>
                <c:formatCode>General</c:formatCode>
                <c:ptCount val="21"/>
                <c:pt idx="0">
                  <c:v>1590.4120734928983</c:v>
                </c:pt>
                <c:pt idx="1">
                  <c:v>1504.9927413072301</c:v>
                </c:pt>
                <c:pt idx="2">
                  <c:v>1419.5734091215618</c:v>
                </c:pt>
                <c:pt idx="3">
                  <c:v>1334.1540769358935</c:v>
                </c:pt>
                <c:pt idx="4">
                  <c:v>1248.734744750225</c:v>
                </c:pt>
                <c:pt idx="5">
                  <c:v>1163.3154125645567</c:v>
                </c:pt>
                <c:pt idx="6">
                  <c:v>1077.8960803788882</c:v>
                </c:pt>
                <c:pt idx="7">
                  <c:v>992.47674819321992</c:v>
                </c:pt>
                <c:pt idx="8">
                  <c:v>907.05741600755141</c:v>
                </c:pt>
                <c:pt idx="9">
                  <c:v>821.63808382188313</c:v>
                </c:pt>
                <c:pt idx="10">
                  <c:v>736.21875163621462</c:v>
                </c:pt>
                <c:pt idx="11">
                  <c:v>650.79941945054622</c:v>
                </c:pt>
                <c:pt idx="12">
                  <c:v>565.38008726487783</c:v>
                </c:pt>
                <c:pt idx="13">
                  <c:v>479.96075507920949</c:v>
                </c:pt>
                <c:pt idx="14">
                  <c:v>394.5414228935411</c:v>
                </c:pt>
                <c:pt idx="15">
                  <c:v>309.12209070787276</c:v>
                </c:pt>
                <c:pt idx="16">
                  <c:v>223.70275852220436</c:v>
                </c:pt>
                <c:pt idx="17">
                  <c:v>138.28342633653597</c:v>
                </c:pt>
                <c:pt idx="18">
                  <c:v>52.864094150867572</c:v>
                </c:pt>
                <c:pt idx="19">
                  <c:v>-32.555238034800709</c:v>
                </c:pt>
                <c:pt idx="20">
                  <c:v>-117.97457022046899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1FB-45F3-96D6-4C3170E284D7}"/>
            </c:ext>
          </c:extLst>
        </c:ser>
        <c:ser>
          <c:idx val="2"/>
          <c:order val="2"/>
          <c:tx>
            <c:v>duration + convexity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[1]main!$N$44:$N$64</c:f>
              <c:numCache>
                <c:formatCode>General</c:formatCode>
                <c:ptCount val="21"/>
                <c:pt idx="0">
                  <c:v>-0.03</c:v>
                </c:pt>
                <c:pt idx="1">
                  <c:v>-2.0000000000000004E-2</c:v>
                </c:pt>
                <c:pt idx="2">
                  <c:v>-1.0000000000000009E-2</c:v>
                </c:pt>
                <c:pt idx="3">
                  <c:v>0</c:v>
                </c:pt>
                <c:pt idx="4">
                  <c:v>9.9999999999999881E-3</c:v>
                </c:pt>
                <c:pt idx="5">
                  <c:v>1.999999999999999E-2</c:v>
                </c:pt>
                <c:pt idx="6">
                  <c:v>2.9999999999999992E-2</c:v>
                </c:pt>
                <c:pt idx="7">
                  <c:v>3.9999999999999994E-2</c:v>
                </c:pt>
                <c:pt idx="8">
                  <c:v>4.9999999999999996E-2</c:v>
                </c:pt>
                <c:pt idx="9">
                  <c:v>0.06</c:v>
                </c:pt>
                <c:pt idx="10">
                  <c:v>7.0000000000000007E-2</c:v>
                </c:pt>
                <c:pt idx="11">
                  <c:v>0.08</c:v>
                </c:pt>
                <c:pt idx="12">
                  <c:v>9.0000000000000011E-2</c:v>
                </c:pt>
                <c:pt idx="13">
                  <c:v>0.1</c:v>
                </c:pt>
                <c:pt idx="14">
                  <c:v>0.11000000000000001</c:v>
                </c:pt>
                <c:pt idx="15">
                  <c:v>0.12000000000000001</c:v>
                </c:pt>
                <c:pt idx="16">
                  <c:v>0.13</c:v>
                </c:pt>
                <c:pt idx="17">
                  <c:v>0.14000000000000001</c:v>
                </c:pt>
                <c:pt idx="18">
                  <c:v>0.15000000000000002</c:v>
                </c:pt>
                <c:pt idx="19">
                  <c:v>0.16</c:v>
                </c:pt>
                <c:pt idx="20">
                  <c:v>0.16999999999999998</c:v>
                </c:pt>
              </c:numCache>
            </c:numRef>
          </c:xVal>
          <c:yVal>
            <c:numRef>
              <c:f>[1]main!$Q$44:$Q$64</c:f>
              <c:numCache>
                <c:formatCode>General</c:formatCode>
                <c:ptCount val="21"/>
                <c:pt idx="0">
                  <c:v>2277.0439333035315</c:v>
                </c:pt>
                <c:pt idx="1">
                  <c:v>2061.1645477538432</c:v>
                </c:pt>
                <c:pt idx="2">
                  <c:v>1859.017799400367</c:v>
                </c:pt>
                <c:pt idx="3">
                  <c:v>1670.603688243104</c:v>
                </c:pt>
                <c:pt idx="4">
                  <c:v>1495.9222142820531</c:v>
                </c:pt>
                <c:pt idx="5">
                  <c:v>1334.9733775172151</c:v>
                </c:pt>
                <c:pt idx="6">
                  <c:v>1187.7571779485895</c:v>
                </c:pt>
                <c:pt idx="7">
                  <c:v>1054.273615576177</c:v>
                </c:pt>
                <c:pt idx="8">
                  <c:v>934.5226903999768</c:v>
                </c:pt>
                <c:pt idx="9">
                  <c:v>828.50440241998945</c:v>
                </c:pt>
                <c:pt idx="10">
                  <c:v>736.21875163621462</c:v>
                </c:pt>
                <c:pt idx="11">
                  <c:v>657.66573804865254</c:v>
                </c:pt>
                <c:pt idx="12">
                  <c:v>592.8453616573031</c:v>
                </c:pt>
                <c:pt idx="13">
                  <c:v>541.75762246216641</c:v>
                </c:pt>
                <c:pt idx="14">
                  <c:v>504.40252046324235</c:v>
                </c:pt>
                <c:pt idx="15">
                  <c:v>480.78005566053105</c:v>
                </c:pt>
                <c:pt idx="16">
                  <c:v>470.89022805403232</c:v>
                </c:pt>
                <c:pt idx="17">
                  <c:v>474.73303764374623</c:v>
                </c:pt>
                <c:pt idx="18">
                  <c:v>492.30848442967272</c:v>
                </c:pt>
                <c:pt idx="19">
                  <c:v>523.61656841181207</c:v>
                </c:pt>
                <c:pt idx="20">
                  <c:v>568.65728959016394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1FB-45F3-96D6-4C3170E284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1979551"/>
        <c:axId val="1614538479"/>
      </c:scatterChart>
      <c:valAx>
        <c:axId val="16119795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Yield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4538479"/>
        <c:crosses val="autoZero"/>
        <c:crossBetween val="midCat"/>
      </c:valAx>
      <c:valAx>
        <c:axId val="1614538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Price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19795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croll" dx="26" fmlaLink="$C$3" horiz="1" inc="2" max="100" page="11" val="33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83820</xdr:colOff>
      <xdr:row>5</xdr:row>
      <xdr:rowOff>34290</xdr:rowOff>
    </xdr:from>
    <xdr:to>
      <xdr:col>19</xdr:col>
      <xdr:colOff>289560</xdr:colOff>
      <xdr:row>25</xdr:row>
      <xdr:rowOff>160020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56E52D7-D08B-4B57-9A9F-DEE10F629A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312420</xdr:colOff>
          <xdr:row>0</xdr:row>
          <xdr:rowOff>114300</xdr:rowOff>
        </xdr:from>
        <xdr:to>
          <xdr:col>15</xdr:col>
          <xdr:colOff>129540</xdr:colOff>
          <xdr:row>3</xdr:row>
          <xdr:rowOff>106680</xdr:rowOff>
        </xdr:to>
        <xdr:sp macro="" textlink="">
          <xdr:nvSpPr>
            <xdr:cNvPr id="2049" name="Scroll Ba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30480</xdr:colOff>
      <xdr:row>9</xdr:row>
      <xdr:rowOff>99060</xdr:rowOff>
    </xdr:from>
    <xdr:to>
      <xdr:col>17</xdr:col>
      <xdr:colOff>502920</xdr:colOff>
      <xdr:row>9</xdr:row>
      <xdr:rowOff>106680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6691C86A-AEBB-B5CC-EF86-14DED079B320}"/>
            </a:ext>
          </a:extLst>
        </xdr:cNvPr>
        <xdr:cNvCxnSpPr/>
      </xdr:nvCxnSpPr>
      <xdr:spPr>
        <a:xfrm flipV="1">
          <a:off x="14546580" y="1744980"/>
          <a:ext cx="472440" cy="76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e52c368020081e9b/CAL%20POLY%20FILES/Apple%20project.xlsx" TargetMode="External"/><Relationship Id="rId1" Type="http://schemas.openxmlformats.org/officeDocument/2006/relationships/externalLinkPath" Target="Apple%20proje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in"/>
      <sheetName val="workshop 2"/>
    </sheetNames>
    <sheetDataSet>
      <sheetData sheetId="0">
        <row r="44">
          <cell r="N44">
            <v>-0.03</v>
          </cell>
          <cell r="P44">
            <v>1590.4120734928983</v>
          </cell>
          <cell r="Q44">
            <v>2277.0439333035315</v>
          </cell>
        </row>
        <row r="45">
          <cell r="N45">
            <v>-2.0000000000000004E-2</v>
          </cell>
          <cell r="P45">
            <v>1504.9927413072301</v>
          </cell>
          <cell r="Q45">
            <v>2061.1645477538432</v>
          </cell>
        </row>
        <row r="46">
          <cell r="N46">
            <v>-1.0000000000000009E-2</v>
          </cell>
          <cell r="P46">
            <v>1419.5734091215618</v>
          </cell>
          <cell r="Q46">
            <v>1859.017799400367</v>
          </cell>
        </row>
        <row r="47">
          <cell r="N47">
            <v>0</v>
          </cell>
          <cell r="P47">
            <v>1334.1540769358935</v>
          </cell>
          <cell r="Q47">
            <v>1670.603688243104</v>
          </cell>
        </row>
        <row r="48">
          <cell r="N48">
            <v>9.9999999999999881E-3</v>
          </cell>
          <cell r="P48">
            <v>1248.734744750225</v>
          </cell>
          <cell r="Q48">
            <v>1495.9222142820531</v>
          </cell>
        </row>
        <row r="49">
          <cell r="F49" t="str">
            <v>duration</v>
          </cell>
          <cell r="N49">
            <v>1.999999999999999E-2</v>
          </cell>
          <cell r="P49">
            <v>1163.3154125645567</v>
          </cell>
          <cell r="Q49">
            <v>1334.9733775172151</v>
          </cell>
        </row>
        <row r="50">
          <cell r="N50">
            <v>2.9999999999999992E-2</v>
          </cell>
          <cell r="P50">
            <v>1077.8960803788882</v>
          </cell>
          <cell r="Q50">
            <v>1187.7571779485895</v>
          </cell>
        </row>
        <row r="51">
          <cell r="D51">
            <v>0</v>
          </cell>
          <cell r="E51">
            <v>1877.5</v>
          </cell>
          <cell r="N51">
            <v>3.9999999999999994E-2</v>
          </cell>
          <cell r="P51">
            <v>992.47674819321992</v>
          </cell>
          <cell r="Q51">
            <v>1054.273615576177</v>
          </cell>
        </row>
        <row r="52">
          <cell r="D52">
            <v>0.01</v>
          </cell>
          <cell r="E52">
            <v>1618.6790575595683</v>
          </cell>
          <cell r="N52">
            <v>4.9999999999999996E-2</v>
          </cell>
          <cell r="P52">
            <v>907.05741600755141</v>
          </cell>
          <cell r="Q52">
            <v>934.5226903999768</v>
          </cell>
        </row>
        <row r="53">
          <cell r="D53">
            <v>0.02</v>
          </cell>
          <cell r="E53">
            <v>1402.0379121886963</v>
          </cell>
          <cell r="N53">
            <v>0.06</v>
          </cell>
          <cell r="P53">
            <v>821.63808382188313</v>
          </cell>
          <cell r="Q53">
            <v>828.50440241998945</v>
          </cell>
        </row>
        <row r="54">
          <cell r="D54">
            <v>0.03</v>
          </cell>
          <cell r="E54">
            <v>1220.2343716167836</v>
          </cell>
          <cell r="N54">
            <v>7.0000000000000007E-2</v>
          </cell>
          <cell r="P54">
            <v>736.21875163621462</v>
          </cell>
          <cell r="Q54">
            <v>736.21875163621462</v>
          </cell>
        </row>
        <row r="55">
          <cell r="D55">
            <v>0.04</v>
          </cell>
          <cell r="E55">
            <v>1067.2564720638827</v>
          </cell>
          <cell r="N55">
            <v>0.08</v>
          </cell>
          <cell r="P55">
            <v>650.79941945054622</v>
          </cell>
          <cell r="Q55">
            <v>657.66573804865254</v>
          </cell>
        </row>
        <row r="56">
          <cell r="D56">
            <v>0.05</v>
          </cell>
          <cell r="E56">
            <v>938.17413892902618</v>
          </cell>
          <cell r="N56">
            <v>9.0000000000000011E-2</v>
          </cell>
          <cell r="P56">
            <v>565.38008726487783</v>
          </cell>
          <cell r="Q56">
            <v>592.8453616573031</v>
          </cell>
        </row>
        <row r="57">
          <cell r="D57">
            <v>6.0000000000000005E-2</v>
          </cell>
          <cell r="E57">
            <v>828.93838649925544</v>
          </cell>
          <cell r="N57">
            <v>0.1</v>
          </cell>
          <cell r="P57">
            <v>479.96075507920949</v>
          </cell>
          <cell r="Q57">
            <v>541.75762246216641</v>
          </cell>
        </row>
        <row r="58">
          <cell r="D58">
            <v>7.0000000000000007E-2</v>
          </cell>
          <cell r="E58">
            <v>736.21875163621462</v>
          </cell>
          <cell r="N58">
            <v>0.11000000000000001</v>
          </cell>
          <cell r="P58">
            <v>394.5414228935411</v>
          </cell>
          <cell r="Q58">
            <v>504.40252046324235</v>
          </cell>
        </row>
        <row r="59">
          <cell r="D59">
            <v>0.08</v>
          </cell>
          <cell r="E59">
            <v>657.27151532163748</v>
          </cell>
          <cell r="N59">
            <v>0.12000000000000001</v>
          </cell>
          <cell r="P59">
            <v>309.12209070787276</v>
          </cell>
          <cell r="Q59">
            <v>480.78005566053105</v>
          </cell>
        </row>
        <row r="60">
          <cell r="D60">
            <v>0.09</v>
          </cell>
          <cell r="E60">
            <v>589.83274631817289</v>
          </cell>
          <cell r="N60">
            <v>0.13</v>
          </cell>
          <cell r="P60">
            <v>223.70275852220436</v>
          </cell>
          <cell r="Q60">
            <v>470.89022805403232</v>
          </cell>
        </row>
        <row r="61">
          <cell r="D61">
            <v>9.9999999999999992E-2</v>
          </cell>
          <cell r="E61">
            <v>532.03138152841018</v>
          </cell>
          <cell r="N61">
            <v>0.14000000000000001</v>
          </cell>
          <cell r="P61">
            <v>138.28342633653597</v>
          </cell>
          <cell r="Q61">
            <v>474.73303764374623</v>
          </cell>
        </row>
        <row r="62">
          <cell r="D62">
            <v>0.10999999999999999</v>
          </cell>
          <cell r="E62">
            <v>482.31849985030323</v>
          </cell>
          <cell r="N62">
            <v>0.15000000000000002</v>
          </cell>
          <cell r="P62">
            <v>52.864094150867572</v>
          </cell>
          <cell r="Q62">
            <v>492.30848442967272</v>
          </cell>
        </row>
        <row r="63">
          <cell r="D63">
            <v>0.11999999999999998</v>
          </cell>
          <cell r="E63">
            <v>439.40969935688463</v>
          </cell>
          <cell r="N63">
            <v>0.16</v>
          </cell>
          <cell r="P63">
            <v>-32.555238034800709</v>
          </cell>
          <cell r="Q63">
            <v>523.61656841181207</v>
          </cell>
        </row>
        <row r="64">
          <cell r="D64">
            <v>0.12999999999999998</v>
          </cell>
          <cell r="E64">
            <v>402.23809016822509</v>
          </cell>
          <cell r="N64">
            <v>0.16999999999999998</v>
          </cell>
          <cell r="P64">
            <v>-117.97457022046899</v>
          </cell>
          <cell r="Q64">
            <v>568.65728959016394</v>
          </cell>
        </row>
        <row r="65">
          <cell r="D65">
            <v>0.13999999999999999</v>
          </cell>
          <cell r="E65">
            <v>369.91589807290484</v>
          </cell>
        </row>
        <row r="66">
          <cell r="D66">
            <v>0.15</v>
          </cell>
          <cell r="E66">
            <v>341.70306108555349</v>
          </cell>
        </row>
        <row r="67">
          <cell r="D67">
            <v>0.16</v>
          </cell>
          <cell r="E67">
            <v>316.98151197435317</v>
          </cell>
        </row>
        <row r="68">
          <cell r="D68">
            <v>0.17</v>
          </cell>
          <cell r="E68">
            <v>295.23408967734679</v>
          </cell>
        </row>
        <row r="69">
          <cell r="D69">
            <v>0.18000000000000002</v>
          </cell>
          <cell r="E69">
            <v>276.0272236352917</v>
          </cell>
        </row>
        <row r="70">
          <cell r="D70">
            <v>0.19000000000000003</v>
          </cell>
          <cell r="E70">
            <v>258.99669710802607</v>
          </cell>
        </row>
        <row r="71">
          <cell r="D71">
            <v>0.20000000000000004</v>
          </cell>
          <cell r="E71">
            <v>243.83592624973329</v>
          </cell>
        </row>
        <row r="72">
          <cell r="D72">
            <v>0.21000000000000005</v>
          </cell>
          <cell r="E72">
            <v>230.28629727403964</v>
          </cell>
        </row>
        <row r="73">
          <cell r="D73">
            <v>0.22000000000000006</v>
          </cell>
          <cell r="E73">
            <v>218.1291893793811</v>
          </cell>
        </row>
        <row r="74">
          <cell r="D74">
            <v>0.23000000000000007</v>
          </cell>
          <cell r="E74">
            <v>207.17938017841811</v>
          </cell>
        </row>
        <row r="75">
          <cell r="D75">
            <v>0.24000000000000007</v>
          </cell>
          <cell r="E75">
            <v>197.27958634588782</v>
          </cell>
        </row>
        <row r="76">
          <cell r="D76">
            <v>0.25000000000000006</v>
          </cell>
          <cell r="E76">
            <v>188.29593760379626</v>
          </cell>
        </row>
        <row r="77">
          <cell r="D77">
            <v>0.26000000000000006</v>
          </cell>
          <cell r="E77">
            <v>180.11421903729931</v>
          </cell>
        </row>
        <row r="78">
          <cell r="D78">
            <v>0.27000000000000007</v>
          </cell>
          <cell r="E78">
            <v>172.63674671524629</v>
          </cell>
        </row>
        <row r="79">
          <cell r="D79">
            <v>0.28000000000000008</v>
          </cell>
          <cell r="E79">
            <v>165.77976599228444</v>
          </cell>
        </row>
        <row r="80">
          <cell r="D80">
            <v>0.29000000000000009</v>
          </cell>
          <cell r="E80">
            <v>159.47128175474356</v>
          </cell>
        </row>
        <row r="81">
          <cell r="D81">
            <v>0.3000000000000001</v>
          </cell>
          <cell r="E81">
            <v>153.64924609466451</v>
          </cell>
        </row>
        <row r="82">
          <cell r="D82">
            <v>0.31000000000000011</v>
          </cell>
          <cell r="E82">
            <v>148.26004214509669</v>
          </cell>
        </row>
        <row r="83">
          <cell r="D83">
            <v>0.32000000000000012</v>
          </cell>
          <cell r="E83">
            <v>143.25721364226504</v>
          </cell>
        </row>
        <row r="84">
          <cell r="D84">
            <v>0.33000000000000013</v>
          </cell>
          <cell r="E84">
            <v>138.60039864713124</v>
          </cell>
        </row>
        <row r="85">
          <cell r="D85">
            <v>0.34000000000000014</v>
          </cell>
          <cell r="E85">
            <v>134.25443312505851</v>
          </cell>
        </row>
        <row r="86">
          <cell r="D86">
            <v>0.35000000000000014</v>
          </cell>
          <cell r="E86">
            <v>130.1885960435126</v>
          </cell>
        </row>
        <row r="87">
          <cell r="D87">
            <v>0.36000000000000015</v>
          </cell>
          <cell r="E87">
            <v>126.37597254387407</v>
          </cell>
        </row>
        <row r="88">
          <cell r="D88">
            <v>0.37000000000000016</v>
          </cell>
          <cell r="E88">
            <v>122.79291576945037</v>
          </cell>
        </row>
        <row r="89">
          <cell r="D89">
            <v>0.38000000000000017</v>
          </cell>
          <cell r="E89">
            <v>119.41859124604079</v>
          </cell>
        </row>
        <row r="90">
          <cell r="D90">
            <v>0.39000000000000018</v>
          </cell>
          <cell r="E90">
            <v>116.2345904429486</v>
          </cell>
        </row>
        <row r="91">
          <cell r="D91">
            <v>0.40000000000000019</v>
          </cell>
          <cell r="E91">
            <v>113.22460239618832</v>
          </cell>
        </row>
        <row r="92">
          <cell r="D92">
            <v>0.4100000000000002</v>
          </cell>
          <cell r="E92">
            <v>110.37413413754044</v>
          </cell>
        </row>
        <row r="93">
          <cell r="D93">
            <v>0.42000000000000021</v>
          </cell>
          <cell r="E93">
            <v>107.67027221300037</v>
          </cell>
        </row>
        <row r="94">
          <cell r="D94">
            <v>0.43000000000000022</v>
          </cell>
          <cell r="E94">
            <v>105.10147884928944</v>
          </cell>
        </row>
        <row r="95">
          <cell r="D95">
            <v>0.44000000000000022</v>
          </cell>
          <cell r="E95">
            <v>102.65741738419212</v>
          </cell>
        </row>
        <row r="96">
          <cell r="D96">
            <v>0.45000000000000023</v>
          </cell>
          <cell r="E96">
            <v>100.32880245392683</v>
          </cell>
        </row>
        <row r="97">
          <cell r="D97">
            <v>0.46000000000000024</v>
          </cell>
          <cell r="E97">
            <v>98.107271159932893</v>
          </cell>
        </row>
        <row r="98">
          <cell r="D98">
            <v>0.47000000000000025</v>
          </cell>
          <cell r="E98">
            <v>95.985272044188591</v>
          </cell>
        </row>
        <row r="99">
          <cell r="D99">
            <v>0.48000000000000026</v>
          </cell>
          <cell r="E99">
            <v>93.955969207629437</v>
          </cell>
        </row>
        <row r="100">
          <cell r="D100">
            <v>0.49000000000000027</v>
          </cell>
          <cell r="E100">
            <v>92.013159327864599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9AC83-4C00-4E25-ADA3-27B8C1F31A1B}">
  <dimension ref="A1:Q100"/>
  <sheetViews>
    <sheetView topLeftCell="A2" workbookViewId="0">
      <selection activeCell="G18" sqref="G18"/>
    </sheetView>
  </sheetViews>
  <sheetFormatPr defaultRowHeight="14.4" x14ac:dyDescent="0.3"/>
  <cols>
    <col min="3" max="3" width="9.88671875" bestFit="1" customWidth="1"/>
    <col min="4" max="5" width="12" bestFit="1" customWidth="1"/>
    <col min="6" max="7" width="15.109375" bestFit="1" customWidth="1"/>
    <col min="8" max="8" width="0" hidden="1" customWidth="1"/>
    <col min="9" max="9" width="12.33203125" bestFit="1" customWidth="1"/>
    <col min="13" max="13" width="10.88671875" bestFit="1" customWidth="1"/>
    <col min="16" max="16" width="10.21875" bestFit="1" customWidth="1"/>
    <col min="17" max="17" width="19.109375" bestFit="1" customWidth="1"/>
  </cols>
  <sheetData>
    <row r="1" spans="1:16" s="102" customFormat="1" ht="28.2" customHeight="1" x14ac:dyDescent="0.3">
      <c r="A1" s="97" t="s">
        <v>281</v>
      </c>
      <c r="B1" s="98"/>
      <c r="C1" s="98"/>
      <c r="D1" s="98"/>
      <c r="E1" s="98"/>
      <c r="F1" s="98"/>
      <c r="G1" s="98"/>
      <c r="H1" s="98"/>
      <c r="I1" s="98"/>
      <c r="J1" s="98"/>
      <c r="K1" s="99"/>
      <c r="L1" s="100"/>
      <c r="M1" s="100"/>
      <c r="N1" s="100"/>
      <c r="O1" s="100"/>
      <c r="P1" s="101"/>
    </row>
    <row r="2" spans="1:16" x14ac:dyDescent="0.3">
      <c r="K2" s="103"/>
      <c r="L2" s="104"/>
      <c r="M2" s="104"/>
      <c r="N2" s="104"/>
      <c r="O2" s="104"/>
      <c r="P2" s="105"/>
    </row>
    <row r="3" spans="1:16" x14ac:dyDescent="0.3">
      <c r="B3" s="70">
        <f>C3/100</f>
        <v>0.33</v>
      </c>
      <c r="C3" s="106">
        <v>33</v>
      </c>
      <c r="K3" s="107"/>
      <c r="L3" s="108"/>
      <c r="M3" s="108"/>
      <c r="N3" s="108"/>
      <c r="O3" s="108"/>
      <c r="P3" s="109"/>
    </row>
    <row r="4" spans="1:16" x14ac:dyDescent="0.3">
      <c r="B4" s="110" t="s">
        <v>282</v>
      </c>
      <c r="C4" s="110" t="s">
        <v>283</v>
      </c>
      <c r="D4" s="110" t="s">
        <v>284</v>
      </c>
      <c r="E4" s="110" t="s">
        <v>285</v>
      </c>
      <c r="F4" s="110" t="s">
        <v>286</v>
      </c>
      <c r="G4" s="110" t="s">
        <v>287</v>
      </c>
      <c r="H4" s="110"/>
      <c r="I4" s="110" t="s">
        <v>284</v>
      </c>
      <c r="J4" s="110" t="s">
        <v>288</v>
      </c>
    </row>
    <row r="6" spans="1:16" x14ac:dyDescent="0.3">
      <c r="B6">
        <v>1</v>
      </c>
      <c r="C6">
        <v>22.5</v>
      </c>
      <c r="D6">
        <f>C6/(1+$B$3/2)^B6</f>
        <v>19.313304721030043</v>
      </c>
      <c r="E6">
        <f>D6*B6</f>
        <v>19.313304721030043</v>
      </c>
      <c r="F6">
        <f>E6/(1+$B$3/2)</f>
        <v>16.577943966549395</v>
      </c>
      <c r="G6">
        <f>B6*(B6+1)*C6</f>
        <v>45</v>
      </c>
      <c r="I6">
        <f>1/(1+($B$3/2))^(B6+2)</f>
        <v>0.63244421426988617</v>
      </c>
      <c r="J6">
        <f>I6*G6</f>
        <v>28.459989642144876</v>
      </c>
    </row>
    <row r="7" spans="1:16" x14ac:dyDescent="0.3">
      <c r="B7">
        <v>2</v>
      </c>
      <c r="C7">
        <v>22.5</v>
      </c>
      <c r="D7">
        <f t="shared" ref="D7:D44" si="0">C7/(1+$B$3/2)^B7</f>
        <v>16.577943966549391</v>
      </c>
      <c r="E7">
        <f t="shared" ref="E7:E44" si="1">D7*B7</f>
        <v>33.155887933098782</v>
      </c>
      <c r="F7">
        <f t="shared" ref="F7:F44" si="2">E7/(1+$B$3/2)</f>
        <v>28.459989642144876</v>
      </c>
      <c r="G7">
        <f t="shared" ref="G7:G44" si="3">B7*(B7+1)*C7</f>
        <v>135</v>
      </c>
      <c r="I7">
        <f t="shared" ref="I7:I44" si="4">1/(1+($B$3/2))^(B7+2)</f>
        <v>0.54287057018874341</v>
      </c>
      <c r="J7">
        <f>I7*G7</f>
        <v>73.287526975480361</v>
      </c>
    </row>
    <row r="8" spans="1:16" x14ac:dyDescent="0.3">
      <c r="B8">
        <v>3</v>
      </c>
      <c r="C8">
        <v>22.5</v>
      </c>
      <c r="D8">
        <f t="shared" si="0"/>
        <v>14.22999482107244</v>
      </c>
      <c r="E8">
        <f t="shared" si="1"/>
        <v>42.689984463217321</v>
      </c>
      <c r="F8">
        <f t="shared" si="2"/>
        <v>36.643763487740188</v>
      </c>
      <c r="G8">
        <f t="shared" si="3"/>
        <v>270</v>
      </c>
      <c r="I8">
        <f t="shared" si="4"/>
        <v>0.46598332205042353</v>
      </c>
      <c r="J8">
        <f t="shared" ref="J8:J44" si="5">I8*G8</f>
        <v>125.81549695361436</v>
      </c>
    </row>
    <row r="9" spans="1:16" x14ac:dyDescent="0.3">
      <c r="B9">
        <v>4</v>
      </c>
      <c r="C9">
        <v>22.5</v>
      </c>
      <c r="D9">
        <f t="shared" si="0"/>
        <v>12.214587829246728</v>
      </c>
      <c r="E9">
        <f t="shared" si="1"/>
        <v>48.858351316986912</v>
      </c>
      <c r="F9">
        <f t="shared" si="2"/>
        <v>41.938498984538121</v>
      </c>
      <c r="G9">
        <f t="shared" si="3"/>
        <v>450</v>
      </c>
      <c r="I9">
        <f t="shared" si="4"/>
        <v>0.39998568416345365</v>
      </c>
      <c r="J9">
        <f t="shared" si="5"/>
        <v>179.99355787355415</v>
      </c>
    </row>
    <row r="10" spans="1:16" x14ac:dyDescent="0.3">
      <c r="B10">
        <v>5</v>
      </c>
      <c r="C10">
        <v>22.5</v>
      </c>
      <c r="D10">
        <f t="shared" si="0"/>
        <v>10.484624746134529</v>
      </c>
      <c r="E10">
        <f t="shared" si="1"/>
        <v>52.423123730672643</v>
      </c>
      <c r="F10">
        <f t="shared" si="2"/>
        <v>44.998389468388531</v>
      </c>
      <c r="G10">
        <f t="shared" si="3"/>
        <v>675</v>
      </c>
      <c r="I10">
        <f t="shared" si="4"/>
        <v>0.34333535121326497</v>
      </c>
      <c r="J10">
        <f t="shared" si="5"/>
        <v>231.75136206895385</v>
      </c>
    </row>
    <row r="11" spans="1:16" x14ac:dyDescent="0.3">
      <c r="B11">
        <v>6</v>
      </c>
      <c r="C11">
        <v>22.5</v>
      </c>
      <c r="D11">
        <f t="shared" si="0"/>
        <v>8.9996778936777062</v>
      </c>
      <c r="E11">
        <f t="shared" si="1"/>
        <v>53.998067362066237</v>
      </c>
      <c r="F11">
        <f t="shared" si="2"/>
        <v>46.350272413790762</v>
      </c>
      <c r="G11">
        <f t="shared" si="3"/>
        <v>945</v>
      </c>
      <c r="I11">
        <f t="shared" si="4"/>
        <v>0.29470845597705142</v>
      </c>
      <c r="J11">
        <f t="shared" si="5"/>
        <v>278.49949089831358</v>
      </c>
    </row>
    <row r="12" spans="1:16" x14ac:dyDescent="0.3">
      <c r="B12">
        <v>7</v>
      </c>
      <c r="C12">
        <v>22.5</v>
      </c>
      <c r="D12">
        <f t="shared" si="0"/>
        <v>7.7250454022984609</v>
      </c>
      <c r="E12">
        <f t="shared" si="1"/>
        <v>54.075317816089225</v>
      </c>
      <c r="F12">
        <f t="shared" si="2"/>
        <v>46.416581816385602</v>
      </c>
      <c r="G12">
        <f t="shared" si="3"/>
        <v>1260</v>
      </c>
      <c r="I12">
        <f t="shared" si="4"/>
        <v>0.25296863173995832</v>
      </c>
      <c r="J12">
        <f t="shared" si="5"/>
        <v>318.74047599234746</v>
      </c>
    </row>
    <row r="13" spans="1:16" x14ac:dyDescent="0.3">
      <c r="B13">
        <v>8</v>
      </c>
      <c r="C13">
        <v>22.5</v>
      </c>
      <c r="D13">
        <f t="shared" si="0"/>
        <v>6.6309402594836575</v>
      </c>
      <c r="E13">
        <f t="shared" si="1"/>
        <v>53.04752207586926</v>
      </c>
      <c r="F13">
        <f t="shared" si="2"/>
        <v>45.534353713192495</v>
      </c>
      <c r="G13">
        <f t="shared" si="3"/>
        <v>1620</v>
      </c>
      <c r="I13">
        <f t="shared" si="4"/>
        <v>0.21714045642914875</v>
      </c>
      <c r="J13">
        <f t="shared" si="5"/>
        <v>351.76753941522099</v>
      </c>
    </row>
    <row r="14" spans="1:16" x14ac:dyDescent="0.3">
      <c r="B14">
        <v>9</v>
      </c>
      <c r="C14">
        <v>22.5</v>
      </c>
      <c r="D14">
        <f t="shared" si="0"/>
        <v>5.6917942141490618</v>
      </c>
      <c r="E14">
        <f t="shared" si="1"/>
        <v>51.226147927341557</v>
      </c>
      <c r="F14">
        <f t="shared" si="2"/>
        <v>43.970942426902624</v>
      </c>
      <c r="G14">
        <f t="shared" si="3"/>
        <v>2025</v>
      </c>
      <c r="I14">
        <f t="shared" si="4"/>
        <v>0.18638665787909764</v>
      </c>
      <c r="J14">
        <f t="shared" si="5"/>
        <v>377.43298220517272</v>
      </c>
    </row>
    <row r="15" spans="1:16" x14ac:dyDescent="0.3">
      <c r="B15">
        <v>10</v>
      </c>
      <c r="C15">
        <v>22.5</v>
      </c>
      <c r="D15">
        <f t="shared" si="0"/>
        <v>4.8856602696558467</v>
      </c>
      <c r="E15">
        <f t="shared" si="1"/>
        <v>48.856602696558468</v>
      </c>
      <c r="F15">
        <f t="shared" si="2"/>
        <v>41.936998022796971</v>
      </c>
      <c r="G15">
        <f t="shared" si="3"/>
        <v>2475</v>
      </c>
      <c r="I15">
        <f t="shared" si="4"/>
        <v>0.1599885475357061</v>
      </c>
      <c r="J15">
        <f t="shared" si="5"/>
        <v>395.97165515087261</v>
      </c>
    </row>
    <row r="16" spans="1:16" x14ac:dyDescent="0.3">
      <c r="B16">
        <v>11</v>
      </c>
      <c r="C16">
        <v>22.5</v>
      </c>
      <c r="D16">
        <f t="shared" si="0"/>
        <v>4.1936998022796965</v>
      </c>
      <c r="E16">
        <f t="shared" si="1"/>
        <v>46.130697825076659</v>
      </c>
      <c r="F16">
        <f t="shared" si="2"/>
        <v>39.597165515087262</v>
      </c>
      <c r="G16">
        <f t="shared" si="3"/>
        <v>2970</v>
      </c>
      <c r="I16">
        <f t="shared" si="4"/>
        <v>0.13732922535253742</v>
      </c>
      <c r="J16">
        <f t="shared" si="5"/>
        <v>407.86779929703613</v>
      </c>
    </row>
    <row r="17" spans="2:10" x14ac:dyDescent="0.3">
      <c r="B17">
        <v>12</v>
      </c>
      <c r="C17">
        <v>22.5</v>
      </c>
      <c r="D17">
        <f t="shared" si="0"/>
        <v>3.5997423195533873</v>
      </c>
      <c r="E17">
        <f t="shared" si="1"/>
        <v>43.196907834640648</v>
      </c>
      <c r="F17">
        <f t="shared" si="2"/>
        <v>37.078890845185107</v>
      </c>
      <c r="G17">
        <f t="shared" si="3"/>
        <v>3510</v>
      </c>
      <c r="I17">
        <f t="shared" si="4"/>
        <v>0.11787916339273598</v>
      </c>
      <c r="J17">
        <f t="shared" si="5"/>
        <v>413.7558635085033</v>
      </c>
    </row>
    <row r="18" spans="2:10" x14ac:dyDescent="0.3">
      <c r="B18">
        <v>13</v>
      </c>
      <c r="C18">
        <v>22.5</v>
      </c>
      <c r="D18">
        <f t="shared" si="0"/>
        <v>3.089907570432092</v>
      </c>
      <c r="E18">
        <f t="shared" si="1"/>
        <v>40.168798415617196</v>
      </c>
      <c r="F18">
        <f t="shared" si="2"/>
        <v>34.479655292375277</v>
      </c>
      <c r="G18">
        <f t="shared" si="3"/>
        <v>4095</v>
      </c>
      <c r="I18">
        <f t="shared" si="4"/>
        <v>0.10118383123839998</v>
      </c>
      <c r="J18">
        <f t="shared" si="5"/>
        <v>414.34778892124791</v>
      </c>
    </row>
    <row r="19" spans="2:10" x14ac:dyDescent="0.3">
      <c r="B19">
        <v>14</v>
      </c>
      <c r="C19">
        <v>22.5</v>
      </c>
      <c r="D19">
        <f t="shared" si="0"/>
        <v>2.6522811763365595</v>
      </c>
      <c r="E19">
        <f t="shared" si="1"/>
        <v>37.131936468711835</v>
      </c>
      <c r="F19">
        <f t="shared" si="2"/>
        <v>31.872906840095993</v>
      </c>
      <c r="G19">
        <f t="shared" si="3"/>
        <v>4725</v>
      </c>
      <c r="I19">
        <f t="shared" si="4"/>
        <v>8.6853074024377655E-2</v>
      </c>
      <c r="J19">
        <f t="shared" si="5"/>
        <v>410.38077476518441</v>
      </c>
    </row>
    <row r="20" spans="2:10" x14ac:dyDescent="0.3">
      <c r="B20">
        <v>15</v>
      </c>
      <c r="C20">
        <v>22.5</v>
      </c>
      <c r="D20">
        <f t="shared" si="0"/>
        <v>2.2766362028639997</v>
      </c>
      <c r="E20">
        <f t="shared" si="1"/>
        <v>34.149543042959998</v>
      </c>
      <c r="F20">
        <f t="shared" si="2"/>
        <v>29.312912483227464</v>
      </c>
      <c r="G20">
        <f t="shared" si="3"/>
        <v>5400</v>
      </c>
      <c r="I20">
        <f t="shared" si="4"/>
        <v>7.4551994870710431E-2</v>
      </c>
      <c r="J20">
        <f t="shared" si="5"/>
        <v>402.5807723018363</v>
      </c>
    </row>
    <row r="21" spans="2:10" x14ac:dyDescent="0.3">
      <c r="B21">
        <v>16</v>
      </c>
      <c r="C21">
        <v>22.5</v>
      </c>
      <c r="D21">
        <f t="shared" si="0"/>
        <v>1.9541941655484973</v>
      </c>
      <c r="E21">
        <f t="shared" si="1"/>
        <v>31.267106648775957</v>
      </c>
      <c r="F21">
        <f t="shared" si="2"/>
        <v>26.838718153455758</v>
      </c>
      <c r="G21">
        <f t="shared" si="3"/>
        <v>6120</v>
      </c>
      <c r="I21">
        <f t="shared" si="4"/>
        <v>6.3993128644386638E-2</v>
      </c>
      <c r="J21">
        <f t="shared" si="5"/>
        <v>391.63794730364623</v>
      </c>
    </row>
    <row r="22" spans="2:10" x14ac:dyDescent="0.3">
      <c r="B22">
        <v>17</v>
      </c>
      <c r="C22">
        <v>22.5</v>
      </c>
      <c r="D22">
        <f t="shared" si="0"/>
        <v>1.6774198845909847</v>
      </c>
      <c r="E22">
        <f t="shared" si="1"/>
        <v>28.516138038046741</v>
      </c>
      <c r="F22">
        <f t="shared" si="2"/>
        <v>24.477371706477889</v>
      </c>
      <c r="G22">
        <f t="shared" si="3"/>
        <v>6885</v>
      </c>
      <c r="I22">
        <f t="shared" si="4"/>
        <v>5.4929724158271798E-2</v>
      </c>
      <c r="J22">
        <f t="shared" si="5"/>
        <v>378.19115082970131</v>
      </c>
    </row>
    <row r="23" spans="2:10" x14ac:dyDescent="0.3">
      <c r="B23">
        <v>18</v>
      </c>
      <c r="C23">
        <v>22.5</v>
      </c>
      <c r="D23">
        <f t="shared" si="0"/>
        <v>1.4398453944986993</v>
      </c>
      <c r="E23">
        <f t="shared" si="1"/>
        <v>25.917217100976586</v>
      </c>
      <c r="F23">
        <f t="shared" si="2"/>
        <v>22.246538284100073</v>
      </c>
      <c r="G23">
        <f t="shared" si="3"/>
        <v>7695</v>
      </c>
      <c r="I23">
        <f t="shared" si="4"/>
        <v>4.7149977818259046E-2</v>
      </c>
      <c r="J23">
        <f t="shared" si="5"/>
        <v>362.81907931150334</v>
      </c>
    </row>
    <row r="24" spans="2:10" x14ac:dyDescent="0.3">
      <c r="B24">
        <v>19</v>
      </c>
      <c r="C24">
        <v>22.5</v>
      </c>
      <c r="D24">
        <f t="shared" si="0"/>
        <v>1.2359187935611153</v>
      </c>
      <c r="E24">
        <f t="shared" si="1"/>
        <v>23.482457077661191</v>
      </c>
      <c r="F24">
        <f t="shared" si="2"/>
        <v>20.156615517305742</v>
      </c>
      <c r="G24">
        <f t="shared" si="3"/>
        <v>8550</v>
      </c>
      <c r="I24">
        <f t="shared" si="4"/>
        <v>4.0472083964170853E-2</v>
      </c>
      <c r="J24">
        <f t="shared" si="5"/>
        <v>346.03631789366079</v>
      </c>
    </row>
    <row r="25" spans="2:10" x14ac:dyDescent="0.3">
      <c r="B25">
        <v>20</v>
      </c>
      <c r="C25">
        <v>22.5</v>
      </c>
      <c r="D25">
        <f t="shared" si="0"/>
        <v>1.0608745009108285</v>
      </c>
      <c r="E25">
        <f t="shared" si="1"/>
        <v>21.217490018216569</v>
      </c>
      <c r="F25">
        <f t="shared" si="2"/>
        <v>18.212437783876883</v>
      </c>
      <c r="G25">
        <f t="shared" si="3"/>
        <v>9450</v>
      </c>
      <c r="I25">
        <f t="shared" si="4"/>
        <v>3.4739986235339783E-2</v>
      </c>
      <c r="J25">
        <f t="shared" si="5"/>
        <v>328.29286992396095</v>
      </c>
    </row>
    <row r="26" spans="2:10" x14ac:dyDescent="0.3">
      <c r="B26">
        <v>21</v>
      </c>
      <c r="C26">
        <v>22.5</v>
      </c>
      <c r="D26">
        <f t="shared" si="0"/>
        <v>0.91062188919384413</v>
      </c>
      <c r="E26">
        <f t="shared" si="1"/>
        <v>19.123059673070728</v>
      </c>
      <c r="F26">
        <f t="shared" si="2"/>
        <v>16.41464349619805</v>
      </c>
      <c r="G26">
        <f t="shared" si="3"/>
        <v>10395</v>
      </c>
      <c r="I26">
        <f t="shared" si="4"/>
        <v>2.9819730674111405E-2</v>
      </c>
      <c r="J26">
        <f t="shared" si="5"/>
        <v>309.97610035738808</v>
      </c>
    </row>
    <row r="27" spans="2:10" x14ac:dyDescent="0.3">
      <c r="B27">
        <v>22</v>
      </c>
      <c r="C27">
        <v>22.5</v>
      </c>
      <c r="D27">
        <f t="shared" si="0"/>
        <v>0.78164969029514519</v>
      </c>
      <c r="E27">
        <f t="shared" si="1"/>
        <v>17.196293186493193</v>
      </c>
      <c r="F27">
        <f t="shared" si="2"/>
        <v>14.760766683685144</v>
      </c>
      <c r="G27">
        <f t="shared" si="3"/>
        <v>11385</v>
      </c>
      <c r="I27">
        <f t="shared" si="4"/>
        <v>2.5596335342584892E-2</v>
      </c>
      <c r="J27">
        <f t="shared" si="5"/>
        <v>291.41427787532899</v>
      </c>
    </row>
    <row r="28" spans="2:10" x14ac:dyDescent="0.3">
      <c r="B28">
        <v>23</v>
      </c>
      <c r="C28">
        <v>22.5</v>
      </c>
      <c r="D28">
        <f t="shared" si="0"/>
        <v>0.67094394016750658</v>
      </c>
      <c r="E28">
        <f t="shared" si="1"/>
        <v>15.431710623852652</v>
      </c>
      <c r="F28">
        <f t="shared" si="2"/>
        <v>13.246103539787685</v>
      </c>
      <c r="G28">
        <f t="shared" si="3"/>
        <v>12420</v>
      </c>
      <c r="I28">
        <f t="shared" si="4"/>
        <v>2.197110329835613E-2</v>
      </c>
      <c r="J28">
        <f t="shared" si="5"/>
        <v>272.88110296558312</v>
      </c>
    </row>
    <row r="29" spans="2:10" x14ac:dyDescent="0.3">
      <c r="B29">
        <v>24</v>
      </c>
      <c r="C29">
        <v>22.5</v>
      </c>
      <c r="D29">
        <f t="shared" si="0"/>
        <v>0.57591754520816008</v>
      </c>
      <c r="E29">
        <f t="shared" si="1"/>
        <v>13.822021084995843</v>
      </c>
      <c r="F29">
        <f t="shared" si="2"/>
        <v>11.864395781112311</v>
      </c>
      <c r="G29">
        <f t="shared" si="3"/>
        <v>13500</v>
      </c>
      <c r="I29">
        <f t="shared" si="4"/>
        <v>1.8859316135928006E-2</v>
      </c>
      <c r="J29">
        <f t="shared" si="5"/>
        <v>254.60076783502808</v>
      </c>
    </row>
    <row r="30" spans="2:10" x14ac:dyDescent="0.3">
      <c r="B30">
        <v>25</v>
      </c>
      <c r="C30">
        <v>22.5</v>
      </c>
      <c r="D30">
        <f t="shared" si="0"/>
        <v>0.49434982421301293</v>
      </c>
      <c r="E30">
        <f t="shared" si="1"/>
        <v>12.358745605325323</v>
      </c>
      <c r="F30">
        <f t="shared" si="2"/>
        <v>10.608365326459504</v>
      </c>
      <c r="G30">
        <f t="shared" si="3"/>
        <v>14625</v>
      </c>
      <c r="I30">
        <f t="shared" si="4"/>
        <v>1.6188254193929622E-2</v>
      </c>
      <c r="J30">
        <f t="shared" si="5"/>
        <v>236.75321758622073</v>
      </c>
    </row>
    <row r="31" spans="2:10" x14ac:dyDescent="0.3">
      <c r="B31">
        <v>26</v>
      </c>
      <c r="C31">
        <v>22.5</v>
      </c>
      <c r="D31">
        <f t="shared" si="0"/>
        <v>0.42433461305838016</v>
      </c>
      <c r="E31">
        <f t="shared" si="1"/>
        <v>11.032699939517885</v>
      </c>
      <c r="F31">
        <f t="shared" si="2"/>
        <v>9.4701287034488271</v>
      </c>
      <c r="G31">
        <f t="shared" si="3"/>
        <v>15795</v>
      </c>
      <c r="I31">
        <f t="shared" si="4"/>
        <v>1.3895497162171346E-2</v>
      </c>
      <c r="J31">
        <f t="shared" si="5"/>
        <v>219.4793776764964</v>
      </c>
    </row>
    <row r="32" spans="2:10" x14ac:dyDescent="0.3">
      <c r="B32">
        <v>27</v>
      </c>
      <c r="C32">
        <v>22.5</v>
      </c>
      <c r="D32">
        <f t="shared" si="0"/>
        <v>0.36423571936341648</v>
      </c>
      <c r="E32">
        <f t="shared" si="1"/>
        <v>9.8343644228122447</v>
      </c>
      <c r="F32">
        <f t="shared" si="2"/>
        <v>8.4415145260190947</v>
      </c>
      <c r="G32">
        <f t="shared" si="3"/>
        <v>17010</v>
      </c>
      <c r="I32">
        <f t="shared" si="4"/>
        <v>1.1927465375254374E-2</v>
      </c>
      <c r="J32">
        <f t="shared" si="5"/>
        <v>202.88618603307691</v>
      </c>
    </row>
    <row r="33" spans="2:17" x14ac:dyDescent="0.3">
      <c r="B33">
        <v>28</v>
      </c>
      <c r="C33">
        <v>22.5</v>
      </c>
      <c r="D33">
        <f t="shared" si="0"/>
        <v>0.31264868614885527</v>
      </c>
      <c r="E33">
        <f t="shared" si="1"/>
        <v>8.7541632121679473</v>
      </c>
      <c r="F33">
        <f t="shared" si="2"/>
        <v>7.5143031864102552</v>
      </c>
      <c r="G33">
        <f t="shared" si="3"/>
        <v>18270</v>
      </c>
      <c r="I33">
        <f t="shared" si="4"/>
        <v>1.0238167704081006E-2</v>
      </c>
      <c r="J33">
        <f t="shared" si="5"/>
        <v>187.05132395356</v>
      </c>
    </row>
    <row r="34" spans="2:17" x14ac:dyDescent="0.3">
      <c r="B34">
        <v>29</v>
      </c>
      <c r="C34">
        <v>22.5</v>
      </c>
      <c r="D34">
        <f t="shared" si="0"/>
        <v>0.2683679709432234</v>
      </c>
      <c r="E34">
        <f t="shared" si="1"/>
        <v>7.7826711573534784</v>
      </c>
      <c r="F34">
        <f t="shared" si="2"/>
        <v>6.6804044269128564</v>
      </c>
      <c r="G34">
        <f t="shared" si="3"/>
        <v>19575</v>
      </c>
      <c r="I34">
        <f t="shared" si="4"/>
        <v>8.788126784618891E-3</v>
      </c>
      <c r="J34">
        <f t="shared" si="5"/>
        <v>172.02758180891479</v>
      </c>
    </row>
    <row r="35" spans="2:17" x14ac:dyDescent="0.3">
      <c r="B35">
        <v>30</v>
      </c>
      <c r="C35">
        <v>22.5</v>
      </c>
      <c r="D35">
        <f t="shared" si="0"/>
        <v>0.23035877334182264</v>
      </c>
      <c r="E35">
        <f t="shared" si="1"/>
        <v>6.9107632002546797</v>
      </c>
      <c r="F35">
        <f t="shared" si="2"/>
        <v>5.9319855796177503</v>
      </c>
      <c r="G35">
        <f t="shared" si="3"/>
        <v>20925</v>
      </c>
      <c r="I35">
        <f t="shared" si="4"/>
        <v>7.5434564674840268E-3</v>
      </c>
      <c r="J35">
        <f t="shared" si="5"/>
        <v>157.84682658210326</v>
      </c>
    </row>
    <row r="36" spans="2:17" x14ac:dyDescent="0.3">
      <c r="B36">
        <v>31</v>
      </c>
      <c r="C36">
        <v>22.5</v>
      </c>
      <c r="D36">
        <f t="shared" si="0"/>
        <v>0.19773285265392504</v>
      </c>
      <c r="E36">
        <f>D36*B36</f>
        <v>6.1297184322716767</v>
      </c>
      <c r="F36">
        <f t="shared" si="2"/>
        <v>5.2615608860701082</v>
      </c>
      <c r="G36">
        <f t="shared" si="3"/>
        <v>22320</v>
      </c>
      <c r="I36">
        <f t="shared" si="4"/>
        <v>6.4750699291708375E-3</v>
      </c>
      <c r="J36">
        <f t="shared" si="5"/>
        <v>144.52356081909309</v>
      </c>
    </row>
    <row r="37" spans="2:17" x14ac:dyDescent="0.3">
      <c r="B37">
        <v>32</v>
      </c>
      <c r="C37">
        <v>22.5</v>
      </c>
      <c r="D37">
        <f t="shared" si="0"/>
        <v>0.16972777051839058</v>
      </c>
      <c r="E37">
        <f t="shared" si="1"/>
        <v>5.4312886565884986</v>
      </c>
      <c r="F37">
        <f t="shared" si="2"/>
        <v>4.6620503490030032</v>
      </c>
      <c r="G37">
        <f t="shared" si="3"/>
        <v>23760</v>
      </c>
      <c r="I37">
        <f t="shared" si="4"/>
        <v>5.5579999392024355E-3</v>
      </c>
      <c r="J37">
        <f t="shared" si="5"/>
        <v>132.05807855544987</v>
      </c>
    </row>
    <row r="38" spans="2:17" x14ac:dyDescent="0.3">
      <c r="B38">
        <v>33</v>
      </c>
      <c r="C38">
        <v>22.5</v>
      </c>
      <c r="D38">
        <f t="shared" si="0"/>
        <v>0.14568907340634385</v>
      </c>
      <c r="E38">
        <f t="shared" si="1"/>
        <v>4.8077394224093473</v>
      </c>
      <c r="F38">
        <f t="shared" si="2"/>
        <v>4.1268149548578084</v>
      </c>
      <c r="G38">
        <f t="shared" si="3"/>
        <v>25245</v>
      </c>
      <c r="I38">
        <f t="shared" si="4"/>
        <v>4.7708153984570264E-3</v>
      </c>
      <c r="J38">
        <f t="shared" si="5"/>
        <v>120.43923473404763</v>
      </c>
    </row>
    <row r="39" spans="2:17" x14ac:dyDescent="0.3">
      <c r="B39">
        <v>34</v>
      </c>
      <c r="C39">
        <v>22.5</v>
      </c>
      <c r="D39">
        <f t="shared" si="0"/>
        <v>0.1250549986320548</v>
      </c>
      <c r="E39">
        <f t="shared" si="1"/>
        <v>4.2518699534898632</v>
      </c>
      <c r="F39">
        <f t="shared" si="2"/>
        <v>3.6496737798196248</v>
      </c>
      <c r="G39">
        <f t="shared" si="3"/>
        <v>26775</v>
      </c>
      <c r="I39">
        <f t="shared" si="4"/>
        <v>4.0951205136970179E-3</v>
      </c>
      <c r="J39">
        <f t="shared" si="5"/>
        <v>109.64685175423766</v>
      </c>
    </row>
    <row r="40" spans="2:17" x14ac:dyDescent="0.3">
      <c r="B40">
        <v>35</v>
      </c>
      <c r="C40">
        <v>22.5</v>
      </c>
      <c r="D40">
        <f t="shared" si="0"/>
        <v>0.1073433464652831</v>
      </c>
      <c r="E40">
        <f t="shared" si="1"/>
        <v>3.7570171262849081</v>
      </c>
      <c r="F40">
        <f t="shared" si="2"/>
        <v>3.2249074045364017</v>
      </c>
      <c r="G40">
        <f t="shared" si="3"/>
        <v>28350</v>
      </c>
      <c r="I40">
        <f t="shared" si="4"/>
        <v>3.5151249044609598E-3</v>
      </c>
      <c r="J40">
        <f t="shared" si="5"/>
        <v>99.65379104146821</v>
      </c>
    </row>
    <row r="41" spans="2:17" x14ac:dyDescent="0.3">
      <c r="B41">
        <v>36</v>
      </c>
      <c r="C41">
        <v>22.5</v>
      </c>
      <c r="D41">
        <f t="shared" si="0"/>
        <v>9.2140211558182902E-2</v>
      </c>
      <c r="E41">
        <f t="shared" si="1"/>
        <v>3.3170476160945843</v>
      </c>
      <c r="F41">
        <f t="shared" si="2"/>
        <v>2.8472511726133769</v>
      </c>
      <c r="G41">
        <f t="shared" si="3"/>
        <v>29970</v>
      </c>
      <c r="I41">
        <f t="shared" si="4"/>
        <v>3.0172745961038272E-3</v>
      </c>
      <c r="J41">
        <f t="shared" si="5"/>
        <v>90.427719645231704</v>
      </c>
    </row>
    <row r="42" spans="2:17" x14ac:dyDescent="0.3">
      <c r="B42">
        <v>37</v>
      </c>
      <c r="C42">
        <v>22.5</v>
      </c>
      <c r="D42">
        <f t="shared" si="0"/>
        <v>7.909031035037159E-2</v>
      </c>
      <c r="E42">
        <f t="shared" si="1"/>
        <v>2.9263414829637489</v>
      </c>
      <c r="F42">
        <f t="shared" si="2"/>
        <v>2.5118811012564368</v>
      </c>
      <c r="G42">
        <f t="shared" si="3"/>
        <v>31635</v>
      </c>
      <c r="I42">
        <f t="shared" si="4"/>
        <v>2.5899352756256029E-3</v>
      </c>
      <c r="J42">
        <f t="shared" si="5"/>
        <v>81.932602444415949</v>
      </c>
      <c r="L42" s="38"/>
      <c r="M42" s="111" t="s">
        <v>289</v>
      </c>
      <c r="N42" s="111"/>
      <c r="O42" s="111"/>
      <c r="P42" s="51"/>
      <c r="Q42" s="111"/>
    </row>
    <row r="43" spans="2:17" x14ac:dyDescent="0.3">
      <c r="B43">
        <v>38</v>
      </c>
      <c r="C43">
        <v>22.5</v>
      </c>
      <c r="D43">
        <f t="shared" si="0"/>
        <v>6.7888678412336118E-2</v>
      </c>
      <c r="E43">
        <f t="shared" si="1"/>
        <v>2.5797697796687724</v>
      </c>
      <c r="F43">
        <f t="shared" si="2"/>
        <v>2.2143946606598903</v>
      </c>
      <c r="G43">
        <f t="shared" si="3"/>
        <v>33345</v>
      </c>
      <c r="I43">
        <f t="shared" si="4"/>
        <v>2.2231204082623201E-3</v>
      </c>
      <c r="J43">
        <f t="shared" si="5"/>
        <v>74.12995001350707</v>
      </c>
      <c r="L43" s="112" t="s">
        <v>290</v>
      </c>
      <c r="M43" s="110" t="s">
        <v>291</v>
      </c>
      <c r="N43" s="110" t="s">
        <v>292</v>
      </c>
      <c r="O43" s="110" t="s">
        <v>293</v>
      </c>
      <c r="P43" s="113" t="s">
        <v>294</v>
      </c>
      <c r="Q43" s="114" t="s">
        <v>295</v>
      </c>
    </row>
    <row r="44" spans="2:17" x14ac:dyDescent="0.3">
      <c r="B44">
        <v>39</v>
      </c>
      <c r="C44">
        <f>1000+22.5</f>
        <v>1022.5</v>
      </c>
      <c r="D44">
        <f t="shared" si="0"/>
        <v>2.6482088193271793</v>
      </c>
      <c r="E44">
        <f t="shared" si="1"/>
        <v>103.28014395375999</v>
      </c>
      <c r="F44">
        <f t="shared" si="2"/>
        <v>88.652484080480676</v>
      </c>
      <c r="G44">
        <f t="shared" si="3"/>
        <v>1595100</v>
      </c>
      <c r="I44">
        <f t="shared" si="4"/>
        <v>1.9082578611693737E-3</v>
      </c>
      <c r="J44">
        <f t="shared" si="5"/>
        <v>3043.8621143512678</v>
      </c>
      <c r="L44" s="115">
        <f>-0.1</f>
        <v>-0.1</v>
      </c>
      <c r="M44" s="53">
        <f>$B$3</f>
        <v>0.33</v>
      </c>
      <c r="N44" s="70">
        <f>L44+M44</f>
        <v>0.23</v>
      </c>
      <c r="O44" s="43">
        <f>$E$50</f>
        <v>138.60039864713124</v>
      </c>
      <c r="P44" s="116">
        <f>O44+$J$47*L44</f>
        <v>183.55962744725954</v>
      </c>
      <c r="Q44" s="74">
        <f>P44+1/2*$J$52*L44^2</f>
        <v>199.08365383134003</v>
      </c>
    </row>
    <row r="45" spans="2:17" x14ac:dyDescent="0.3">
      <c r="B45" s="111"/>
      <c r="C45" s="111"/>
      <c r="D45" s="111">
        <f>SUM(D6:D44)</f>
        <v>138.60039864713124</v>
      </c>
      <c r="E45" s="111">
        <f>SUM(E6:E44)</f>
        <v>1047.5500310429893</v>
      </c>
      <c r="F45" s="111">
        <f>SUM(F6:F44)</f>
        <v>899.18457600256613</v>
      </c>
      <c r="G45" s="111"/>
      <c r="I45" s="111"/>
      <c r="J45" s="111"/>
      <c r="L45" s="115">
        <f>L44+0.01</f>
        <v>-9.0000000000000011E-2</v>
      </c>
      <c r="M45" s="53">
        <f t="shared" ref="M45:M64" si="6">$B$3</f>
        <v>0.33</v>
      </c>
      <c r="N45" s="70">
        <f t="shared" ref="N45:N64" si="7">L45+M45</f>
        <v>0.24</v>
      </c>
      <c r="O45" s="43">
        <f t="shared" ref="O45:O64" si="8">$E$50</f>
        <v>138.60039864713124</v>
      </c>
      <c r="P45" s="116">
        <f t="shared" ref="P45:P64" si="9">O45+$J$47*L45</f>
        <v>179.06370456724673</v>
      </c>
      <c r="Q45" s="74">
        <f t="shared" ref="Q45:Q64" si="10">P45+1/2*$J$52*L45^2</f>
        <v>191.6381659383519</v>
      </c>
    </row>
    <row r="46" spans="2:17" x14ac:dyDescent="0.3">
      <c r="E46" s="117">
        <f>E45/$D$45</f>
        <v>7.5580592932491655</v>
      </c>
      <c r="F46" s="117">
        <f>F45/$D$45</f>
        <v>6.4876045435615168</v>
      </c>
      <c r="I46" s="118" t="s">
        <v>296</v>
      </c>
      <c r="J46" s="39">
        <f>-F46*E50</f>
        <v>-899.18457600256613</v>
      </c>
      <c r="L46" s="115">
        <f>L45+0.01</f>
        <v>-8.0000000000000016E-2</v>
      </c>
      <c r="M46" s="53">
        <f t="shared" si="6"/>
        <v>0.33</v>
      </c>
      <c r="N46" s="70">
        <f t="shared" si="7"/>
        <v>0.25</v>
      </c>
      <c r="O46" s="43">
        <f t="shared" si="8"/>
        <v>138.60039864713124</v>
      </c>
      <c r="P46" s="116">
        <f t="shared" si="9"/>
        <v>174.56778168723389</v>
      </c>
      <c r="Q46" s="74">
        <f t="shared" si="10"/>
        <v>184.5031585730454</v>
      </c>
    </row>
    <row r="47" spans="2:17" x14ac:dyDescent="0.3">
      <c r="E47">
        <f>E46/2</f>
        <v>3.7790296466245827</v>
      </c>
      <c r="F47">
        <f>F46/2</f>
        <v>3.2438022717807584</v>
      </c>
      <c r="I47" s="112" t="s">
        <v>297</v>
      </c>
      <c r="J47" s="30">
        <f>J46/2</f>
        <v>-449.59228800128307</v>
      </c>
      <c r="L47" s="115">
        <f>L46+0.01</f>
        <v>-7.0000000000000021E-2</v>
      </c>
      <c r="M47" s="53">
        <f t="shared" si="6"/>
        <v>0.33</v>
      </c>
      <c r="N47" s="70">
        <f t="shared" si="7"/>
        <v>0.26</v>
      </c>
      <c r="O47" s="43">
        <f t="shared" si="8"/>
        <v>138.60039864713124</v>
      </c>
      <c r="P47" s="116">
        <f t="shared" si="9"/>
        <v>170.07185880722108</v>
      </c>
      <c r="Q47" s="74">
        <f t="shared" si="10"/>
        <v>177.67863173542051</v>
      </c>
    </row>
    <row r="48" spans="2:17" x14ac:dyDescent="0.3">
      <c r="I48" s="112" t="s">
        <v>288</v>
      </c>
      <c r="J48" s="30">
        <f>SUM(J6:J44)</f>
        <v>12419.221107264375</v>
      </c>
      <c r="L48" s="115">
        <f t="shared" ref="L48:L64" si="11">L47+0.01</f>
        <v>-6.0000000000000019E-2</v>
      </c>
      <c r="M48" s="53">
        <f t="shared" si="6"/>
        <v>0.33</v>
      </c>
      <c r="N48" s="70">
        <f t="shared" si="7"/>
        <v>0.27</v>
      </c>
      <c r="O48" s="43">
        <f t="shared" si="8"/>
        <v>138.60039864713124</v>
      </c>
      <c r="P48" s="116">
        <f t="shared" si="9"/>
        <v>165.57593592720823</v>
      </c>
      <c r="Q48" s="74">
        <f t="shared" si="10"/>
        <v>171.16458542547721</v>
      </c>
    </row>
    <row r="49" spans="4:17" x14ac:dyDescent="0.3">
      <c r="D49" s="118"/>
      <c r="E49" s="119" t="s">
        <v>298</v>
      </c>
      <c r="F49" s="119" t="s">
        <v>285</v>
      </c>
      <c r="G49" s="120" t="s">
        <v>299</v>
      </c>
      <c r="I49" s="112"/>
      <c r="J49" s="30">
        <f>J48/D45</f>
        <v>89.604512169427508</v>
      </c>
      <c r="L49" s="115">
        <f t="shared" si="11"/>
        <v>-5.0000000000000017E-2</v>
      </c>
      <c r="M49" s="53">
        <f t="shared" si="6"/>
        <v>0.33</v>
      </c>
      <c r="N49" s="70">
        <f t="shared" si="7"/>
        <v>0.28000000000000003</v>
      </c>
      <c r="O49" s="43">
        <f t="shared" si="8"/>
        <v>138.60039864713124</v>
      </c>
      <c r="P49" s="116">
        <f t="shared" si="9"/>
        <v>161.08001304719539</v>
      </c>
      <c r="Q49" s="74">
        <f t="shared" si="10"/>
        <v>164.96101964321551</v>
      </c>
    </row>
    <row r="50" spans="4:17" x14ac:dyDescent="0.3">
      <c r="D50" s="40" t="s">
        <v>300</v>
      </c>
      <c r="E50">
        <f>SUM(D6:D44)</f>
        <v>138.60039864713124</v>
      </c>
      <c r="F50">
        <f>(SUM(E6:E44)/E50)/2</f>
        <v>3.7790296466245827</v>
      </c>
      <c r="G50" s="30">
        <f>F50/(1+B3/2)</f>
        <v>3.2438022717807575</v>
      </c>
      <c r="I50" s="112"/>
      <c r="J50" s="30">
        <f>J48/2^2</f>
        <v>3104.8052768160937</v>
      </c>
      <c r="L50" s="115">
        <f t="shared" si="11"/>
        <v>-4.0000000000000015E-2</v>
      </c>
      <c r="M50" s="53">
        <f t="shared" si="6"/>
        <v>0.33</v>
      </c>
      <c r="N50" s="70">
        <f t="shared" si="7"/>
        <v>0.28999999999999998</v>
      </c>
      <c r="O50" s="43">
        <f t="shared" si="8"/>
        <v>138.60039864713124</v>
      </c>
      <c r="P50" s="116">
        <f t="shared" si="9"/>
        <v>156.58409016718258</v>
      </c>
      <c r="Q50" s="74">
        <f t="shared" si="10"/>
        <v>159.06793438863545</v>
      </c>
    </row>
    <row r="51" spans="4:17" x14ac:dyDescent="0.3">
      <c r="D51" s="40">
        <v>0</v>
      </c>
      <c r="E51">
        <v>1877.5</v>
      </c>
      <c r="F51">
        <v>15.059920106524634</v>
      </c>
      <c r="G51" s="30">
        <v>15.059920106524634</v>
      </c>
      <c r="H51">
        <v>0</v>
      </c>
      <c r="I51" s="112" t="s">
        <v>301</v>
      </c>
      <c r="J51" s="30">
        <f>J49/2^2</f>
        <v>22.401128042356877</v>
      </c>
      <c r="L51" s="115">
        <f t="shared" si="11"/>
        <v>-3.0000000000000013E-2</v>
      </c>
      <c r="M51" s="53">
        <f t="shared" si="6"/>
        <v>0.33</v>
      </c>
      <c r="N51" s="70">
        <f t="shared" si="7"/>
        <v>0.3</v>
      </c>
      <c r="O51" s="43">
        <f t="shared" si="8"/>
        <v>138.60039864713124</v>
      </c>
      <c r="P51" s="116">
        <f t="shared" si="9"/>
        <v>152.08816728716974</v>
      </c>
      <c r="Q51" s="74">
        <f t="shared" si="10"/>
        <v>153.48532966173698</v>
      </c>
    </row>
    <row r="52" spans="4:17" x14ac:dyDescent="0.3">
      <c r="D52" s="40">
        <v>0.01</v>
      </c>
      <c r="E52">
        <v>1618.6790575595683</v>
      </c>
      <c r="F52">
        <v>14.676420270226064</v>
      </c>
      <c r="G52" s="30">
        <v>14.603403253956284</v>
      </c>
      <c r="H52">
        <v>0</v>
      </c>
      <c r="I52" s="121" t="s">
        <v>302</v>
      </c>
      <c r="J52" s="122">
        <f>J48/4</f>
        <v>3104.8052768160937</v>
      </c>
      <c r="L52" s="115">
        <f t="shared" si="11"/>
        <v>-2.0000000000000011E-2</v>
      </c>
      <c r="M52" s="53">
        <f t="shared" si="6"/>
        <v>0.33</v>
      </c>
      <c r="N52" s="70">
        <f t="shared" si="7"/>
        <v>0.31</v>
      </c>
      <c r="O52" s="43">
        <f t="shared" si="8"/>
        <v>138.60039864713124</v>
      </c>
      <c r="P52" s="116">
        <f t="shared" si="9"/>
        <v>147.5922444071569</v>
      </c>
      <c r="Q52" s="74">
        <f t="shared" si="10"/>
        <v>148.21320546252011</v>
      </c>
    </row>
    <row r="53" spans="4:17" x14ac:dyDescent="0.3">
      <c r="D53" s="40">
        <f>D52+0.01</f>
        <v>0.02</v>
      </c>
      <c r="E53">
        <v>1402.0379121886963</v>
      </c>
      <c r="F53">
        <v>14.27207162636199</v>
      </c>
      <c r="G53" s="30">
        <v>14.130763986497019</v>
      </c>
      <c r="H53">
        <v>0</v>
      </c>
      <c r="I53" s="110"/>
      <c r="L53" s="115">
        <f t="shared" si="11"/>
        <v>-1.0000000000000011E-2</v>
      </c>
      <c r="M53" s="53">
        <f t="shared" si="6"/>
        <v>0.33</v>
      </c>
      <c r="N53" s="70">
        <f t="shared" si="7"/>
        <v>0.32</v>
      </c>
      <c r="O53" s="43">
        <f t="shared" si="8"/>
        <v>138.60039864713124</v>
      </c>
      <c r="P53" s="116">
        <f t="shared" si="9"/>
        <v>143.09632152714408</v>
      </c>
      <c r="Q53" s="74">
        <f t="shared" si="10"/>
        <v>143.25156179098488</v>
      </c>
    </row>
    <row r="54" spans="4:17" x14ac:dyDescent="0.3">
      <c r="D54" s="40">
        <f t="shared" ref="D54:D100" si="12">D53+0.01</f>
        <v>0.03</v>
      </c>
      <c r="E54">
        <v>1220.2343716167836</v>
      </c>
      <c r="F54">
        <v>13.848453509173305</v>
      </c>
      <c r="G54" s="30">
        <v>13.643796560761878</v>
      </c>
      <c r="H54">
        <v>0</v>
      </c>
      <c r="I54" s="110"/>
      <c r="L54" s="115">
        <f t="shared" si="11"/>
        <v>0</v>
      </c>
      <c r="M54" s="53">
        <f t="shared" si="6"/>
        <v>0.33</v>
      </c>
      <c r="N54" s="70">
        <f t="shared" si="7"/>
        <v>0.33</v>
      </c>
      <c r="O54" s="43">
        <f t="shared" si="8"/>
        <v>138.60039864713124</v>
      </c>
      <c r="P54" s="116">
        <f t="shared" si="9"/>
        <v>138.60039864713124</v>
      </c>
      <c r="Q54" s="74">
        <f t="shared" si="10"/>
        <v>138.60039864713124</v>
      </c>
    </row>
    <row r="55" spans="4:17" x14ac:dyDescent="0.3">
      <c r="D55" s="40">
        <f t="shared" si="12"/>
        <v>0.04</v>
      </c>
      <c r="E55">
        <v>1067.2564720638827</v>
      </c>
      <c r="F55">
        <v>13.407612807664661</v>
      </c>
      <c r="G55" s="30">
        <v>13.144718438886922</v>
      </c>
      <c r="H55">
        <v>0</v>
      </c>
      <c r="L55" s="115">
        <f t="shared" si="11"/>
        <v>0.01</v>
      </c>
      <c r="M55" s="53">
        <f t="shared" si="6"/>
        <v>0.33</v>
      </c>
      <c r="N55" s="70">
        <f t="shared" si="7"/>
        <v>0.34</v>
      </c>
      <c r="O55" s="43">
        <f t="shared" si="8"/>
        <v>138.60039864713124</v>
      </c>
      <c r="P55" s="116">
        <f t="shared" si="9"/>
        <v>134.1044757671184</v>
      </c>
      <c r="Q55" s="74">
        <f t="shared" si="10"/>
        <v>134.2597160309592</v>
      </c>
    </row>
    <row r="56" spans="4:17" x14ac:dyDescent="0.3">
      <c r="D56" s="40">
        <f t="shared" si="12"/>
        <v>0.05</v>
      </c>
      <c r="E56">
        <v>938.17413892902618</v>
      </c>
      <c r="F56">
        <v>12.952037977280195</v>
      </c>
      <c r="G56" s="30">
        <v>12.63613461198068</v>
      </c>
      <c r="H56">
        <v>0</v>
      </c>
      <c r="L56" s="115">
        <f t="shared" si="11"/>
        <v>0.02</v>
      </c>
      <c r="M56" s="53">
        <f t="shared" si="6"/>
        <v>0.33</v>
      </c>
      <c r="N56" s="70">
        <f t="shared" si="7"/>
        <v>0.35000000000000003</v>
      </c>
      <c r="O56" s="43">
        <f t="shared" si="8"/>
        <v>138.60039864713124</v>
      </c>
      <c r="P56" s="116">
        <f t="shared" si="9"/>
        <v>129.60855288710559</v>
      </c>
      <c r="Q56" s="74">
        <f t="shared" si="10"/>
        <v>130.2295139424688</v>
      </c>
    </row>
    <row r="57" spans="4:17" x14ac:dyDescent="0.3">
      <c r="D57" s="40">
        <f t="shared" si="12"/>
        <v>6.0000000000000005E-2</v>
      </c>
      <c r="E57">
        <v>828.93838649925544</v>
      </c>
      <c r="F57">
        <v>12.484608989733562</v>
      </c>
      <c r="G57" s="30">
        <v>12.12097960168307</v>
      </c>
      <c r="H57">
        <v>0</v>
      </c>
      <c r="L57" s="115">
        <f t="shared" si="11"/>
        <v>0.03</v>
      </c>
      <c r="M57" s="53">
        <f t="shared" si="6"/>
        <v>0.33</v>
      </c>
      <c r="N57" s="70">
        <f t="shared" si="7"/>
        <v>0.36</v>
      </c>
      <c r="O57" s="43">
        <f t="shared" si="8"/>
        <v>138.60039864713124</v>
      </c>
      <c r="P57" s="116">
        <f t="shared" si="9"/>
        <v>125.11263000709275</v>
      </c>
      <c r="Q57" s="74">
        <f t="shared" si="10"/>
        <v>126.50979238165999</v>
      </c>
    </row>
    <row r="58" spans="4:17" x14ac:dyDescent="0.3">
      <c r="D58" s="40">
        <f t="shared" si="12"/>
        <v>7.0000000000000007E-2</v>
      </c>
      <c r="E58">
        <v>736.21875163621462</v>
      </c>
      <c r="F58">
        <v>12.008524452234003</v>
      </c>
      <c r="G58" s="30">
        <v>11.602439084284061</v>
      </c>
      <c r="H58">
        <v>0</v>
      </c>
      <c r="L58" s="115">
        <f t="shared" si="11"/>
        <v>0.04</v>
      </c>
      <c r="M58" s="53">
        <f t="shared" si="6"/>
        <v>0.33</v>
      </c>
      <c r="N58" s="70">
        <f t="shared" si="7"/>
        <v>0.37</v>
      </c>
      <c r="O58" s="43">
        <f t="shared" si="8"/>
        <v>138.60039864713124</v>
      </c>
      <c r="P58" s="116">
        <f t="shared" si="9"/>
        <v>120.61670712707992</v>
      </c>
      <c r="Q58" s="74">
        <f t="shared" si="10"/>
        <v>123.10055134853279</v>
      </c>
    </row>
    <row r="59" spans="4:17" x14ac:dyDescent="0.3">
      <c r="D59" s="40">
        <f t="shared" si="12"/>
        <v>0.08</v>
      </c>
      <c r="E59">
        <v>657.27151532163748</v>
      </c>
      <c r="F59">
        <v>11.527209360963536</v>
      </c>
      <c r="G59" s="30">
        <v>11.08385515477263</v>
      </c>
      <c r="H59">
        <v>0</v>
      </c>
      <c r="L59" s="115">
        <f t="shared" si="11"/>
        <v>0.05</v>
      </c>
      <c r="M59" s="53">
        <f t="shared" si="6"/>
        <v>0.33</v>
      </c>
      <c r="N59" s="70">
        <f t="shared" si="7"/>
        <v>0.38</v>
      </c>
      <c r="O59" s="43">
        <f t="shared" si="8"/>
        <v>138.60039864713124</v>
      </c>
      <c r="P59" s="116">
        <f t="shared" si="9"/>
        <v>116.12078424706709</v>
      </c>
      <c r="Q59" s="74">
        <f t="shared" si="10"/>
        <v>120.00179084308721</v>
      </c>
    </row>
    <row r="60" spans="4:17" x14ac:dyDescent="0.3">
      <c r="D60" s="40">
        <f t="shared" si="12"/>
        <v>0.09</v>
      </c>
      <c r="E60">
        <v>589.83274631817289</v>
      </c>
      <c r="F60">
        <v>11.04420897365608</v>
      </c>
      <c r="G60" s="30">
        <v>10.568621027422086</v>
      </c>
      <c r="H60">
        <v>0</v>
      </c>
      <c r="L60" s="115">
        <f t="shared" si="11"/>
        <v>6.0000000000000005E-2</v>
      </c>
      <c r="M60" s="53">
        <f t="shared" si="6"/>
        <v>0.33</v>
      </c>
      <c r="N60" s="70">
        <f t="shared" si="7"/>
        <v>0.39</v>
      </c>
      <c r="O60" s="43">
        <f t="shared" si="8"/>
        <v>138.60039864713124</v>
      </c>
      <c r="P60" s="116">
        <f t="shared" si="9"/>
        <v>111.62486136705425</v>
      </c>
      <c r="Q60" s="74">
        <f t="shared" si="10"/>
        <v>117.21351086532322</v>
      </c>
    </row>
    <row r="61" spans="4:17" x14ac:dyDescent="0.3">
      <c r="D61" s="40">
        <f t="shared" si="12"/>
        <v>9.9999999999999992E-2</v>
      </c>
      <c r="E61">
        <v>532.03138152841018</v>
      </c>
      <c r="F61">
        <v>10.563075776370624</v>
      </c>
      <c r="G61" s="30">
        <v>10.060072167972022</v>
      </c>
      <c r="H61">
        <v>0</v>
      </c>
      <c r="L61" s="115">
        <f t="shared" si="11"/>
        <v>7.0000000000000007E-2</v>
      </c>
      <c r="M61" s="53">
        <f t="shared" si="6"/>
        <v>0.33</v>
      </c>
      <c r="N61" s="70">
        <f t="shared" si="7"/>
        <v>0.4</v>
      </c>
      <c r="O61" s="43">
        <f t="shared" si="8"/>
        <v>138.60039864713124</v>
      </c>
      <c r="P61" s="116">
        <f t="shared" si="9"/>
        <v>107.12893848704142</v>
      </c>
      <c r="Q61" s="74">
        <f t="shared" si="10"/>
        <v>114.73571141524086</v>
      </c>
    </row>
    <row r="62" spans="4:17" x14ac:dyDescent="0.3">
      <c r="D62" s="40">
        <f t="shared" si="12"/>
        <v>0.10999999999999999</v>
      </c>
      <c r="E62">
        <v>482.31849985030323</v>
      </c>
      <c r="F62">
        <v>10.0872572362561</v>
      </c>
      <c r="G62" s="30">
        <v>9.561381266593461</v>
      </c>
      <c r="H62">
        <v>0</v>
      </c>
      <c r="L62" s="115">
        <f t="shared" si="11"/>
        <v>0.08</v>
      </c>
      <c r="M62" s="53">
        <f t="shared" si="6"/>
        <v>0.33</v>
      </c>
      <c r="N62" s="70">
        <f t="shared" si="7"/>
        <v>0.41000000000000003</v>
      </c>
      <c r="O62" s="43">
        <f t="shared" si="8"/>
        <v>138.60039864713124</v>
      </c>
      <c r="P62" s="116">
        <f t="shared" si="9"/>
        <v>102.6330156070286</v>
      </c>
      <c r="Q62" s="74">
        <f t="shared" si="10"/>
        <v>112.5683924928401</v>
      </c>
    </row>
    <row r="63" spans="4:17" x14ac:dyDescent="0.3">
      <c r="D63" s="40">
        <f t="shared" si="12"/>
        <v>0.11999999999999998</v>
      </c>
      <c r="E63">
        <v>439.40969935688463</v>
      </c>
      <c r="F63">
        <v>9.6199918596574587</v>
      </c>
      <c r="G63" s="30">
        <v>9.0754640185447712</v>
      </c>
      <c r="H63">
        <v>0</v>
      </c>
      <c r="L63" s="115">
        <f t="shared" si="11"/>
        <v>0.09</v>
      </c>
      <c r="M63" s="53">
        <f t="shared" si="6"/>
        <v>0.33</v>
      </c>
      <c r="N63" s="70">
        <f t="shared" si="7"/>
        <v>0.42000000000000004</v>
      </c>
      <c r="O63" s="43">
        <f t="shared" si="8"/>
        <v>138.60039864713124</v>
      </c>
      <c r="P63" s="116">
        <f t="shared" si="9"/>
        <v>98.137092727015769</v>
      </c>
      <c r="Q63" s="74">
        <f t="shared" si="10"/>
        <v>110.71155409812096</v>
      </c>
    </row>
    <row r="64" spans="4:17" x14ac:dyDescent="0.3">
      <c r="D64" s="40">
        <f t="shared" si="12"/>
        <v>0.12999999999999998</v>
      </c>
      <c r="E64">
        <v>402.23809016822509</v>
      </c>
      <c r="F64">
        <v>9.1642200523442412</v>
      </c>
      <c r="G64" s="30">
        <v>8.6049014576002261</v>
      </c>
      <c r="H64">
        <v>0</v>
      </c>
      <c r="L64" s="123">
        <f t="shared" si="11"/>
        <v>9.9999999999999992E-2</v>
      </c>
      <c r="M64" s="124">
        <f t="shared" si="6"/>
        <v>0.33</v>
      </c>
      <c r="N64" s="125">
        <f t="shared" si="7"/>
        <v>0.43</v>
      </c>
      <c r="O64" s="45">
        <f t="shared" si="8"/>
        <v>138.60039864713124</v>
      </c>
      <c r="P64" s="126">
        <f t="shared" si="9"/>
        <v>93.641169847002942</v>
      </c>
      <c r="Q64" s="74">
        <f t="shared" si="10"/>
        <v>109.16519623108341</v>
      </c>
    </row>
    <row r="65" spans="4:12" x14ac:dyDescent="0.3">
      <c r="D65" s="40">
        <f t="shared" si="12"/>
        <v>0.13999999999999999</v>
      </c>
      <c r="E65">
        <v>369.91589807290484</v>
      </c>
      <c r="F65">
        <v>8.7225145886611699</v>
      </c>
      <c r="G65" s="30">
        <v>8.1518827931412794</v>
      </c>
      <c r="H65">
        <v>0</v>
      </c>
      <c r="L65" s="70"/>
    </row>
    <row r="66" spans="4:12" x14ac:dyDescent="0.3">
      <c r="D66" s="40">
        <f t="shared" si="12"/>
        <v>0.15</v>
      </c>
      <c r="E66">
        <v>341.70306108555349</v>
      </c>
      <c r="F66">
        <v>8.2970334208514771</v>
      </c>
      <c r="G66" s="30">
        <v>7.718170624047886</v>
      </c>
      <c r="H66">
        <v>0</v>
      </c>
    </row>
    <row r="67" spans="4:12" x14ac:dyDescent="0.3">
      <c r="D67" s="40">
        <f t="shared" si="12"/>
        <v>0.16</v>
      </c>
      <c r="E67">
        <v>316.98151197435317</v>
      </c>
      <c r="F67">
        <v>7.8894954156505142</v>
      </c>
      <c r="G67" s="30">
        <v>7.3050883478245501</v>
      </c>
      <c r="H67">
        <v>0</v>
      </c>
    </row>
    <row r="68" spans="4:12" x14ac:dyDescent="0.3">
      <c r="D68" s="40">
        <f t="shared" si="12"/>
        <v>0.17</v>
      </c>
      <c r="E68">
        <v>295.23408967734679</v>
      </c>
      <c r="F68">
        <v>7.5011776799153527</v>
      </c>
      <c r="G68" s="30">
        <v>6.9135278155901867</v>
      </c>
      <c r="H68">
        <v>0</v>
      </c>
    </row>
    <row r="69" spans="4:12" x14ac:dyDescent="0.3">
      <c r="D69" s="40">
        <f t="shared" si="12"/>
        <v>0.18000000000000002</v>
      </c>
      <c r="E69">
        <v>276.0272236352917</v>
      </c>
      <c r="F69">
        <v>7.1329316396887634</v>
      </c>
      <c r="G69" s="30">
        <v>6.5439739813658377</v>
      </c>
      <c r="H69">
        <v>0</v>
      </c>
    </row>
    <row r="70" spans="4:12" x14ac:dyDescent="0.3">
      <c r="D70" s="40">
        <f t="shared" si="12"/>
        <v>0.19000000000000003</v>
      </c>
      <c r="E70">
        <v>258.99669710802607</v>
      </c>
      <c r="F70">
        <v>6.7852140751043439</v>
      </c>
      <c r="G70" s="30">
        <v>6.1965425343418667</v>
      </c>
      <c r="H70">
        <v>0</v>
      </c>
    </row>
    <row r="71" spans="4:12" x14ac:dyDescent="0.3">
      <c r="D71" s="40">
        <f t="shared" si="12"/>
        <v>0.20000000000000004</v>
      </c>
      <c r="E71">
        <v>243.83592624973329</v>
      </c>
      <c r="F71">
        <v>6.4581288948775946</v>
      </c>
      <c r="G71" s="30">
        <v>5.8710262680705396</v>
      </c>
      <c r="H71">
        <v>0</v>
      </c>
    </row>
    <row r="72" spans="4:12" x14ac:dyDescent="0.3">
      <c r="D72" s="40">
        <f t="shared" si="12"/>
        <v>0.21000000000000005</v>
      </c>
      <c r="E72">
        <v>230.28629727403964</v>
      </c>
      <c r="F72">
        <v>6.1514754888243255</v>
      </c>
      <c r="G72" s="30">
        <v>5.5669461437324212</v>
      </c>
      <c r="H72">
        <v>0</v>
      </c>
    </row>
    <row r="73" spans="4:12" x14ac:dyDescent="0.3">
      <c r="D73" s="40">
        <f t="shared" si="12"/>
        <v>0.22000000000000006</v>
      </c>
      <c r="E73">
        <v>218.1291893793811</v>
      </c>
      <c r="F73">
        <v>5.864799907952901</v>
      </c>
      <c r="G73" s="30">
        <v>5.2836035206782883</v>
      </c>
      <c r="H73">
        <v>0</v>
      </c>
    </row>
    <row r="74" spans="4:12" x14ac:dyDescent="0.3">
      <c r="D74" s="40">
        <f t="shared" si="12"/>
        <v>0.23000000000000007</v>
      </c>
      <c r="E74">
        <v>207.17938017841811</v>
      </c>
      <c r="F74">
        <v>5.5974457563151807</v>
      </c>
      <c r="G74" s="30">
        <v>5.0201307231526284</v>
      </c>
      <c r="H74">
        <v>0</v>
      </c>
    </row>
    <row r="75" spans="4:12" x14ac:dyDescent="0.3">
      <c r="D75" s="40">
        <f t="shared" si="12"/>
        <v>0.24000000000000007</v>
      </c>
      <c r="E75">
        <v>197.27958634588782</v>
      </c>
      <c r="F75">
        <v>5.3486024128018608</v>
      </c>
      <c r="G75" s="30">
        <v>4.7755378685730898</v>
      </c>
      <c r="H75">
        <v>0</v>
      </c>
    </row>
    <row r="76" spans="4:12" x14ac:dyDescent="0.3">
      <c r="D76" s="40">
        <f t="shared" si="12"/>
        <v>0.25000000000000006</v>
      </c>
      <c r="E76">
        <v>188.29593760379626</v>
      </c>
      <c r="F76">
        <v>5.1173489343595007</v>
      </c>
      <c r="G76" s="30">
        <v>4.5487546083195562</v>
      </c>
      <c r="H76">
        <v>0</v>
      </c>
    </row>
    <row r="77" spans="4:12" x14ac:dyDescent="0.3">
      <c r="D77" s="40">
        <f t="shared" si="12"/>
        <v>0.26000000000000006</v>
      </c>
      <c r="E77">
        <v>180.11421903729931</v>
      </c>
      <c r="F77">
        <v>4.9026926550260521</v>
      </c>
      <c r="G77" s="30">
        <v>4.3386660663947358</v>
      </c>
      <c r="H77">
        <v>0</v>
      </c>
    </row>
    <row r="78" spans="4:12" x14ac:dyDescent="0.3">
      <c r="D78" s="40">
        <f t="shared" si="12"/>
        <v>0.27000000000000007</v>
      </c>
      <c r="E78">
        <v>172.63674671524629</v>
      </c>
      <c r="F78">
        <v>4.7036020478013469</v>
      </c>
      <c r="G78" s="30">
        <v>4.1441427733932574</v>
      </c>
      <c r="H78">
        <v>0</v>
      </c>
    </row>
    <row r="79" spans="4:12" x14ac:dyDescent="0.3">
      <c r="D79" s="40">
        <f t="shared" si="12"/>
        <v>0.28000000000000008</v>
      </c>
      <c r="E79">
        <v>165.77976599228444</v>
      </c>
      <c r="F79">
        <v>4.5190338435178665</v>
      </c>
      <c r="G79" s="30">
        <v>3.9640647750156721</v>
      </c>
      <c r="H79">
        <v>0</v>
      </c>
    </row>
    <row r="80" spans="4:12" x14ac:dyDescent="0.3">
      <c r="D80" s="40">
        <f t="shared" si="12"/>
        <v>0.29000000000000009</v>
      </c>
      <c r="E80">
        <v>159.47128175474356</v>
      </c>
      <c r="F80">
        <v>4.3479547053686654</v>
      </c>
      <c r="G80" s="30">
        <v>3.7973403540337687</v>
      </c>
      <c r="H80">
        <v>0</v>
      </c>
    </row>
    <row r="81" spans="4:8" x14ac:dyDescent="0.3">
      <c r="D81" s="40">
        <f t="shared" si="12"/>
        <v>0.3000000000000001</v>
      </c>
      <c r="E81">
        <v>153.64924609466451</v>
      </c>
      <c r="F81">
        <v>4.1893579536153549</v>
      </c>
      <c r="G81" s="30">
        <v>3.6429199596655257</v>
      </c>
      <c r="H81">
        <v>0</v>
      </c>
    </row>
    <row r="82" spans="4:8" x14ac:dyDescent="0.3">
      <c r="D82" s="40">
        <f t="shared" si="12"/>
        <v>0.31000000000000011</v>
      </c>
      <c r="E82">
        <v>148.26004214509669</v>
      </c>
      <c r="F82">
        <v>4.0422759418091623</v>
      </c>
      <c r="G82" s="30">
        <v>3.4998060102243826</v>
      </c>
      <c r="H82">
        <v>0</v>
      </c>
    </row>
    <row r="83" spans="4:8" x14ac:dyDescent="0.3">
      <c r="D83" s="40">
        <f t="shared" si="12"/>
        <v>0.32000000000000012</v>
      </c>
      <c r="E83">
        <v>143.25721364226504</v>
      </c>
      <c r="F83">
        <v>3.9057887245192799</v>
      </c>
      <c r="G83" s="30">
        <v>3.3670592452752408</v>
      </c>
      <c r="H83">
        <v>0</v>
      </c>
    </row>
    <row r="84" spans="4:8" x14ac:dyDescent="0.3">
      <c r="D84" s="40">
        <f t="shared" si="12"/>
        <v>0.33000000000000013</v>
      </c>
      <c r="E84">
        <v>138.60039864713124</v>
      </c>
      <c r="F84">
        <v>3.7790296466245827</v>
      </c>
      <c r="G84" s="30">
        <v>3.2438022717807575</v>
      </c>
      <c r="H84">
        <v>0</v>
      </c>
    </row>
    <row r="85" spans="4:8" x14ac:dyDescent="0.3">
      <c r="D85" s="40">
        <f t="shared" si="12"/>
        <v>0.34000000000000014</v>
      </c>
      <c r="E85">
        <v>134.25443312505851</v>
      </c>
      <c r="F85">
        <v>3.6611884424073713</v>
      </c>
      <c r="G85" s="30">
        <v>3.1292208909464709</v>
      </c>
      <c r="H85">
        <v>0</v>
      </c>
    </row>
    <row r="86" spans="4:8" x14ac:dyDescent="0.3">
      <c r="D86" s="40">
        <f t="shared" si="12"/>
        <v>0.35000000000000014</v>
      </c>
      <c r="E86">
        <v>130.1885960435126</v>
      </c>
      <c r="F86">
        <v>3.5515123723370619</v>
      </c>
      <c r="G86" s="30">
        <v>3.0225637211379248</v>
      </c>
      <c r="H86">
        <v>0</v>
      </c>
    </row>
    <row r="87" spans="4:8" x14ac:dyDescent="0.3">
      <c r="D87" s="40">
        <f t="shared" si="12"/>
        <v>0.36000000000000015</v>
      </c>
      <c r="E87">
        <v>126.37597254387407</v>
      </c>
      <c r="F87">
        <v>3.4493058565587305</v>
      </c>
      <c r="G87" s="30">
        <v>2.9231405564057034</v>
      </c>
      <c r="H87">
        <v>0</v>
      </c>
    </row>
    <row r="88" spans="4:8" x14ac:dyDescent="0.3">
      <c r="D88" s="40">
        <f t="shared" si="12"/>
        <v>0.37000000000000016</v>
      </c>
      <c r="E88">
        <v>122.79291576945037</v>
      </c>
      <c r="F88">
        <v>3.3539289937653156</v>
      </c>
      <c r="G88" s="30">
        <v>2.8303198259622917</v>
      </c>
      <c r="H88">
        <v>0</v>
      </c>
    </row>
    <row r="89" spans="4:8" x14ac:dyDescent="0.3">
      <c r="D89" s="40">
        <f t="shared" si="12"/>
        <v>0.38000000000000017</v>
      </c>
      <c r="E89">
        <v>119.41859124604079</v>
      </c>
      <c r="F89">
        <v>3.2647952869623613</v>
      </c>
      <c r="G89" s="30">
        <v>2.7435254512288747</v>
      </c>
      <c r="H89">
        <v>0</v>
      </c>
    </row>
    <row r="90" spans="4:8" x14ac:dyDescent="0.3">
      <c r="D90" s="40">
        <f t="shared" si="12"/>
        <v>0.39000000000000018</v>
      </c>
      <c r="E90">
        <v>116.2345904429486</v>
      </c>
      <c r="F90">
        <v>3.1813688363813597</v>
      </c>
      <c r="G90" s="30">
        <v>2.6622333358839829</v>
      </c>
      <c r="H90">
        <v>0</v>
      </c>
    </row>
    <row r="91" spans="4:8" x14ac:dyDescent="0.3">
      <c r="D91" s="40">
        <f t="shared" si="12"/>
        <v>0.40000000000000019</v>
      </c>
      <c r="E91">
        <v>113.22460239618832</v>
      </c>
      <c r="F91">
        <v>3.103161205833469</v>
      </c>
      <c r="G91" s="30">
        <v>2.5859676715278903</v>
      </c>
      <c r="H91">
        <v>0</v>
      </c>
    </row>
    <row r="92" spans="4:8" x14ac:dyDescent="0.3">
      <c r="D92" s="40">
        <f t="shared" si="12"/>
        <v>0.4100000000000002</v>
      </c>
      <c r="E92">
        <v>110.37413413754044</v>
      </c>
      <c r="F92">
        <v>3.0297281225370818</v>
      </c>
      <c r="G92" s="30">
        <v>2.5142971971262087</v>
      </c>
      <c r="H92">
        <v>0</v>
      </c>
    </row>
    <row r="93" spans="4:8" x14ac:dyDescent="0.3">
      <c r="D93" s="40">
        <f t="shared" si="12"/>
        <v>0.42000000000000021</v>
      </c>
      <c r="E93">
        <v>107.67027221300037</v>
      </c>
      <c r="F93">
        <v>2.9606661316939591</v>
      </c>
      <c r="G93" s="30">
        <v>2.4468315137966599</v>
      </c>
      <c r="H93">
        <v>0</v>
      </c>
    </row>
    <row r="94" spans="4:8" x14ac:dyDescent="0.3">
      <c r="D94" s="40">
        <f t="shared" si="12"/>
        <v>0.43000000000000022</v>
      </c>
      <c r="E94">
        <v>105.10147884928944</v>
      </c>
      <c r="F94">
        <v>2.8956092952540695</v>
      </c>
      <c r="G94" s="30">
        <v>2.3832175269580818</v>
      </c>
      <c r="H94">
        <v>0</v>
      </c>
    </row>
    <row r="95" spans="4:8" x14ac:dyDescent="0.3">
      <c r="D95" s="40">
        <f t="shared" si="12"/>
        <v>0.44000000000000022</v>
      </c>
      <c r="E95">
        <v>102.65741738419212</v>
      </c>
      <c r="F95">
        <v>2.8342259986300551</v>
      </c>
      <c r="G95" s="30">
        <v>2.3231360644508645</v>
      </c>
      <c r="H95">
        <v>0</v>
      </c>
    </row>
    <row r="96" spans="4:8" x14ac:dyDescent="0.3">
      <c r="D96" s="40">
        <f t="shared" si="12"/>
        <v>0.45000000000000023</v>
      </c>
      <c r="E96">
        <v>100.32880245392683</v>
      </c>
      <c r="F96">
        <v>2.7762159087627576</v>
      </c>
      <c r="G96" s="30">
        <v>2.2662987010308222</v>
      </c>
      <c r="H96">
        <v>0</v>
      </c>
    </row>
    <row r="97" spans="4:8" x14ac:dyDescent="0.3">
      <c r="D97" s="40">
        <f t="shared" si="12"/>
        <v>0.46000000000000024</v>
      </c>
      <c r="E97">
        <v>98.107271159932893</v>
      </c>
      <c r="F97">
        <v>2.7213071110715497</v>
      </c>
      <c r="G97" s="30">
        <v>2.212444805749227</v>
      </c>
      <c r="H97">
        <v>0</v>
      </c>
    </row>
    <row r="98" spans="4:8" x14ac:dyDescent="0.3">
      <c r="D98" s="40">
        <f t="shared" si="12"/>
        <v>0.47000000000000025</v>
      </c>
      <c r="E98">
        <v>95.985272044188591</v>
      </c>
      <c r="F98">
        <v>2.6692534406783244</v>
      </c>
      <c r="G98" s="30">
        <v>2.1613388183630153</v>
      </c>
      <c r="H98">
        <v>0</v>
      </c>
    </row>
    <row r="99" spans="4:8" x14ac:dyDescent="0.3">
      <c r="D99" s="40">
        <f t="shared" si="12"/>
        <v>0.48000000000000026</v>
      </c>
      <c r="E99">
        <v>93.955969207629437</v>
      </c>
      <c r="F99">
        <v>2.6198320141818643</v>
      </c>
      <c r="G99" s="30">
        <v>2.1127677533724709</v>
      </c>
      <c r="H99">
        <v>0</v>
      </c>
    </row>
    <row r="100" spans="4:8" x14ac:dyDescent="0.3">
      <c r="D100" s="42">
        <f t="shared" si="12"/>
        <v>0.49000000000000027</v>
      </c>
      <c r="E100" s="31">
        <v>92.013159327864599</v>
      </c>
      <c r="F100" s="31">
        <v>2.5728409615823917</v>
      </c>
      <c r="G100" s="122">
        <v>2.0665389249657764</v>
      </c>
      <c r="H100">
        <v>0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Scroll Bar 1">
              <controlPr defaultSize="0" autoPict="0">
                <anchor moveWithCells="1">
                  <from>
                    <xdr:col>10</xdr:col>
                    <xdr:colOff>312420</xdr:colOff>
                    <xdr:row>0</xdr:row>
                    <xdr:rowOff>114300</xdr:rowOff>
                  </from>
                  <to>
                    <xdr:col>15</xdr:col>
                    <xdr:colOff>129540</xdr:colOff>
                    <xdr:row>3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AF216-C26D-4652-B523-6EE900A1D1B8}">
  <dimension ref="A1:Y34"/>
  <sheetViews>
    <sheetView tabSelected="1" topLeftCell="B1" zoomScale="77" workbookViewId="0">
      <selection activeCell="O22" sqref="O22"/>
    </sheetView>
  </sheetViews>
  <sheetFormatPr defaultRowHeight="14.4" x14ac:dyDescent="0.3"/>
  <cols>
    <col min="1" max="1" width="19" customWidth="1"/>
    <col min="2" max="2" width="10.5546875" bestFit="1" customWidth="1"/>
    <col min="3" max="3" width="15.6640625" customWidth="1"/>
    <col min="4" max="4" width="13.33203125" customWidth="1"/>
    <col min="5" max="5" width="22.109375" customWidth="1"/>
    <col min="6" max="7" width="13.33203125" customWidth="1"/>
    <col min="8" max="8" width="21.6640625" customWidth="1"/>
    <col min="9" max="9" width="13.33203125" customWidth="1"/>
    <col min="12" max="12" width="11" customWidth="1"/>
    <col min="20" max="20" width="10.109375" customWidth="1"/>
  </cols>
  <sheetData>
    <row r="1" spans="1:25" x14ac:dyDescent="0.3">
      <c r="A1" s="127" t="s">
        <v>0</v>
      </c>
      <c r="B1" s="128"/>
    </row>
    <row r="2" spans="1:25" x14ac:dyDescent="0.3">
      <c r="A2" s="38" t="s">
        <v>1</v>
      </c>
      <c r="B2" s="39" t="s">
        <v>2</v>
      </c>
      <c r="E2" s="130" t="s">
        <v>3</v>
      </c>
      <c r="F2" s="131"/>
      <c r="H2" s="134" t="s">
        <v>4</v>
      </c>
      <c r="I2" s="135"/>
    </row>
    <row r="3" spans="1:25" x14ac:dyDescent="0.3">
      <c r="A3" s="40" t="s">
        <v>5</v>
      </c>
      <c r="B3" s="30" t="str">
        <f>balance!A2</f>
        <v>$198.51</v>
      </c>
      <c r="E3" s="40" t="s">
        <v>6</v>
      </c>
      <c r="F3" s="75">
        <f>SUM($E$31:$I$31)</f>
        <v>493.04415862585842</v>
      </c>
      <c r="H3" s="40" t="s">
        <v>6</v>
      </c>
      <c r="I3" s="75">
        <f>SUM($E$31:$I$31)</f>
        <v>493.04415862585842</v>
      </c>
    </row>
    <row r="4" spans="1:25" x14ac:dyDescent="0.3">
      <c r="A4" s="40" t="s">
        <v>7</v>
      </c>
      <c r="B4" s="41">
        <f>income!B47/1000</f>
        <v>15.408094999999999</v>
      </c>
      <c r="E4" s="40" t="s">
        <v>8</v>
      </c>
      <c r="F4" s="75">
        <f>((1+B8)*I29)/(B13-B8)</f>
        <v>2343.5563985417607</v>
      </c>
      <c r="H4" s="40" t="s">
        <v>8</v>
      </c>
      <c r="I4" s="75">
        <f>I19*B10</f>
        <v>3499.0329748710033</v>
      </c>
    </row>
    <row r="5" spans="1:25" x14ac:dyDescent="0.3">
      <c r="A5" s="40" t="s">
        <v>9</v>
      </c>
      <c r="B5" s="41">
        <f>balance!B10</f>
        <v>65.171000000000006</v>
      </c>
      <c r="E5" s="40" t="s">
        <v>10</v>
      </c>
      <c r="F5" s="75">
        <f>F4/(1+$B$13)^$I$30</f>
        <v>1521.6043147956816</v>
      </c>
      <c r="H5" s="40" t="s">
        <v>10</v>
      </c>
      <c r="I5" s="75">
        <f>I4/(1+$B$13)^$I$30</f>
        <v>2271.8222934549171</v>
      </c>
    </row>
    <row r="6" spans="1:25" x14ac:dyDescent="0.3">
      <c r="A6" s="40" t="s">
        <v>11</v>
      </c>
      <c r="B6" s="41">
        <f>balance!B48+balance!B41</f>
        <v>119.059</v>
      </c>
      <c r="E6" s="40" t="s">
        <v>12</v>
      </c>
      <c r="F6" s="75">
        <f>F5+F3</f>
        <v>2014.6484734215401</v>
      </c>
      <c r="H6" s="40" t="s">
        <v>12</v>
      </c>
      <c r="I6" s="75">
        <f>I5+I3</f>
        <v>2764.8664520807756</v>
      </c>
      <c r="M6" s="31"/>
      <c r="N6" s="31"/>
      <c r="O6" s="31" t="s">
        <v>13</v>
      </c>
      <c r="P6" s="31"/>
      <c r="Q6" s="31"/>
      <c r="U6" s="31"/>
      <c r="V6" s="31"/>
      <c r="W6" s="31" t="s">
        <v>14</v>
      </c>
      <c r="X6" s="31"/>
      <c r="Y6" s="31"/>
    </row>
    <row r="7" spans="1:25" x14ac:dyDescent="0.3">
      <c r="A7" s="40" t="s">
        <v>15</v>
      </c>
      <c r="B7" s="55">
        <f>income!L33</f>
        <v>0.19351333527922171</v>
      </c>
      <c r="E7" s="40" t="s">
        <v>16</v>
      </c>
      <c r="F7" s="44">
        <f>-$B$6+$B$5</f>
        <v>-53.887999999999991</v>
      </c>
      <c r="H7" s="40" t="s">
        <v>16</v>
      </c>
      <c r="I7" s="44">
        <f>-$B$6+$B$5</f>
        <v>-53.887999999999991</v>
      </c>
      <c r="L7" s="74">
        <f>F10</f>
        <v>127.25521704153175</v>
      </c>
      <c r="M7" s="87">
        <f>N7-$B$9</f>
        <v>2.0000000000000004E-2</v>
      </c>
      <c r="N7" s="87">
        <f>O7-$B$9</f>
        <v>2.2500000000000003E-2</v>
      </c>
      <c r="O7" s="88">
        <v>2.5000000000000001E-2</v>
      </c>
      <c r="P7" s="87">
        <f>O7+$B$9</f>
        <v>2.75E-2</v>
      </c>
      <c r="Q7" s="87">
        <f>P7+$B$9</f>
        <v>0.03</v>
      </c>
      <c r="T7" s="74">
        <f>I10</f>
        <v>175.94507640826305</v>
      </c>
      <c r="U7" s="87">
        <f>V7-$B$11</f>
        <v>16.035893999999999</v>
      </c>
      <c r="V7" s="87">
        <f>W7-$B$11</f>
        <v>17.035893999999999</v>
      </c>
      <c r="W7" s="86">
        <v>18.035893999999999</v>
      </c>
      <c r="X7" s="87">
        <f>W7+$B$11</f>
        <v>19.035893999999999</v>
      </c>
      <c r="Y7" s="87">
        <f>X7+$B$11</f>
        <v>20.035893999999999</v>
      </c>
    </row>
    <row r="8" spans="1:25" x14ac:dyDescent="0.3">
      <c r="A8" s="40" t="s">
        <v>17</v>
      </c>
      <c r="B8" s="55">
        <v>2.5000000000000001E-2</v>
      </c>
      <c r="E8" s="40" t="s">
        <v>18</v>
      </c>
      <c r="F8" s="75">
        <f>F6+F7</f>
        <v>1960.7604734215402</v>
      </c>
      <c r="H8" s="40" t="s">
        <v>18</v>
      </c>
      <c r="I8" s="75">
        <f>I6+I7</f>
        <v>2710.9784520807757</v>
      </c>
      <c r="L8" s="85">
        <f>L9-$B$14</f>
        <v>8.0221483102912189E-2</v>
      </c>
      <c r="M8" s="40">
        <f t="dataTable" ref="M8:Q13" dt2D="1" dtr="1" r1="B8" r2="B13"/>
        <v>140.83304919299255</v>
      </c>
      <c r="N8">
        <v>145.94507581250343</v>
      </c>
      <c r="O8">
        <v>151.5199681802942</v>
      </c>
      <c r="P8">
        <v>157.62357218892674</v>
      </c>
      <c r="Q8">
        <v>164.33484483172978</v>
      </c>
      <c r="T8" s="85">
        <f>T9-$B$14</f>
        <v>8.0221483102912189E-2</v>
      </c>
      <c r="U8" s="40">
        <f t="dataTable" ref="U8:Y13" dt2D="1" dtr="1" r1="B10" r2="B13" ca="1"/>
        <v>166.6583077946068</v>
      </c>
      <c r="V8">
        <v>175.21877293104487</v>
      </c>
      <c r="W8">
        <v>183.77923806748288</v>
      </c>
      <c r="X8">
        <v>192.33970320392095</v>
      </c>
      <c r="Y8">
        <v>200.90016834035893</v>
      </c>
    </row>
    <row r="9" spans="1:25" x14ac:dyDescent="0.3">
      <c r="A9" s="40" t="s">
        <v>19</v>
      </c>
      <c r="B9" s="55">
        <v>2.5000000000000001E-3</v>
      </c>
      <c r="E9" s="40" t="s">
        <v>20</v>
      </c>
      <c r="F9" s="41">
        <f>$B$4</f>
        <v>15.408094999999999</v>
      </c>
      <c r="H9" s="40" t="s">
        <v>20</v>
      </c>
      <c r="I9" s="41">
        <f>$B$4</f>
        <v>15.408094999999999</v>
      </c>
      <c r="L9" s="85">
        <f>L10-$B$14</f>
        <v>8.5221483102912193E-2</v>
      </c>
      <c r="M9" s="40">
        <v>129.49455909944459</v>
      </c>
      <c r="N9" s="84">
        <v>133.75890825172061</v>
      </c>
      <c r="O9" s="84">
        <v>138.3773128782689</v>
      </c>
      <c r="P9" s="84">
        <v>143.39577692622134</v>
      </c>
      <c r="Q9">
        <v>148.86863514886485</v>
      </c>
      <c r="T9" s="85">
        <f>T10-$B$14</f>
        <v>8.5221483102912193E-2</v>
      </c>
      <c r="U9" s="40">
        <v>163.07924697791151</v>
      </c>
      <c r="V9" s="84">
        <v>171.44431546775624</v>
      </c>
      <c r="W9" s="84">
        <v>179.809383957601</v>
      </c>
      <c r="X9" s="84">
        <v>188.17445244744573</v>
      </c>
      <c r="Y9">
        <v>196.53952093729046</v>
      </c>
    </row>
    <row r="10" spans="1:25" x14ac:dyDescent="0.3">
      <c r="A10" s="40" t="s">
        <v>21</v>
      </c>
      <c r="B10" s="86">
        <f>'comps analysis'!D13</f>
        <v>18.035893999999999</v>
      </c>
      <c r="E10" s="40" t="s">
        <v>22</v>
      </c>
      <c r="F10" s="75">
        <f>F8/F9</f>
        <v>127.25521704153175</v>
      </c>
      <c r="H10" s="40" t="s">
        <v>22</v>
      </c>
      <c r="I10" s="75">
        <f>I8/I9</f>
        <v>175.94507640826305</v>
      </c>
      <c r="K10" s="30" t="s">
        <v>23</v>
      </c>
      <c r="L10" s="71">
        <v>9.0221483102912198E-2</v>
      </c>
      <c r="M10" s="40">
        <v>119.77621484840753</v>
      </c>
      <c r="N10" s="84">
        <v>123.37766886872357</v>
      </c>
      <c r="O10" s="84">
        <v>127.25521704153175</v>
      </c>
      <c r="P10" s="84">
        <v>131.44187367136146</v>
      </c>
      <c r="Q10">
        <v>135.9761352101134</v>
      </c>
      <c r="S10" s="30" t="s">
        <v>23</v>
      </c>
      <c r="T10" s="71">
        <v>9.0221483102912198E-2</v>
      </c>
      <c r="U10" s="40">
        <v>159.59507738897167</v>
      </c>
      <c r="V10" s="84">
        <v>167.77007689861736</v>
      </c>
      <c r="W10" s="84">
        <v>175.94507640826305</v>
      </c>
      <c r="X10" s="84">
        <v>184.12007591790874</v>
      </c>
      <c r="Y10">
        <v>192.29507542755439</v>
      </c>
    </row>
    <row r="11" spans="1:25" x14ac:dyDescent="0.3">
      <c r="A11" s="40" t="s">
        <v>24</v>
      </c>
      <c r="B11" s="30">
        <v>1</v>
      </c>
      <c r="E11" s="40" t="s">
        <v>25</v>
      </c>
      <c r="F11" s="75" t="str">
        <f>B3</f>
        <v>$198.51</v>
      </c>
      <c r="H11" s="40" t="s">
        <v>25</v>
      </c>
      <c r="I11" s="75" t="str">
        <f>F11</f>
        <v>$198.51</v>
      </c>
      <c r="L11" s="85">
        <f>L10+$B$14</f>
        <v>9.5221483102912202E-2</v>
      </c>
      <c r="M11" s="40">
        <v>111.35481159758639</v>
      </c>
      <c r="N11" s="84">
        <v>114.42893176439577</v>
      </c>
      <c r="O11" s="84">
        <v>117.72193937354983</v>
      </c>
      <c r="P11" s="84">
        <v>121.25807571071404</v>
      </c>
      <c r="Q11">
        <v>125.06529882549601</v>
      </c>
      <c r="T11" s="85">
        <f>T10+$B$14</f>
        <v>9.5221483102912202E-2</v>
      </c>
      <c r="U11" s="40">
        <v>156.20283643884187</v>
      </c>
      <c r="V11" s="84">
        <v>164.19292592824115</v>
      </c>
      <c r="W11" s="84">
        <v>172.18301541764052</v>
      </c>
      <c r="X11" s="84">
        <v>180.1731049070398</v>
      </c>
      <c r="Y11">
        <v>188.16319439643911</v>
      </c>
    </row>
    <row r="12" spans="1:25" x14ac:dyDescent="0.3">
      <c r="A12" s="40" t="s">
        <v>23</v>
      </c>
      <c r="B12" s="71">
        <f>wacc!A22</f>
        <v>8.2760407009479051E-2</v>
      </c>
      <c r="E12" s="42" t="s">
        <v>26</v>
      </c>
      <c r="F12" s="76">
        <f>(F10/F11)-1</f>
        <v>-0.35894807797324191</v>
      </c>
      <c r="H12" s="42" t="s">
        <v>26</v>
      </c>
      <c r="I12" s="76">
        <f>(I10/I11)-1</f>
        <v>-0.11367147041326353</v>
      </c>
      <c r="L12" s="85">
        <f t="shared" ref="L12:L13" si="0">L11+$B$14</f>
        <v>0.10022148310291221</v>
      </c>
      <c r="M12" s="40">
        <v>103.98772626035684</v>
      </c>
      <c r="N12">
        <v>106.63611069136144</v>
      </c>
      <c r="O12">
        <v>109.46053422195288</v>
      </c>
      <c r="P12">
        <v>112.47915232958523</v>
      </c>
      <c r="Q12">
        <v>115.71270595084157</v>
      </c>
      <c r="T12" s="85">
        <f t="shared" ref="T12:T13" si="1">T11+$B$14</f>
        <v>0.10022148310291221</v>
      </c>
      <c r="U12" s="40">
        <v>152.89966736092222</v>
      </c>
      <c r="V12">
        <v>160.70984316150816</v>
      </c>
      <c r="W12">
        <v>168.52001896209416</v>
      </c>
      <c r="X12">
        <v>176.33019476268012</v>
      </c>
      <c r="Y12">
        <v>184.14037056326609</v>
      </c>
    </row>
    <row r="13" spans="1:25" x14ac:dyDescent="0.3">
      <c r="A13" s="40" t="s">
        <v>27</v>
      </c>
      <c r="B13" s="71">
        <f>AVERAGE(wacc!A22,wacc!A26)</f>
        <v>9.0221483102912198E-2</v>
      </c>
      <c r="L13" s="85">
        <f t="shared" si="0"/>
        <v>0.10522148310291221</v>
      </c>
      <c r="M13" s="40">
        <v>97.489278467743773</v>
      </c>
      <c r="N13">
        <v>99.789494377815416</v>
      </c>
      <c r="O13">
        <v>102.23307686633345</v>
      </c>
      <c r="P13">
        <v>104.8338605810094</v>
      </c>
      <c r="Q13">
        <v>107.60751935792774</v>
      </c>
      <c r="T13" s="85">
        <f t="shared" si="1"/>
        <v>0.10522148310291221</v>
      </c>
      <c r="U13" s="40">
        <v>149.68281496567897</v>
      </c>
      <c r="V13">
        <v>157.31791661305516</v>
      </c>
      <c r="W13">
        <v>164.95301826043132</v>
      </c>
      <c r="X13">
        <v>172.58811990780751</v>
      </c>
      <c r="Y13">
        <v>180.22322155518367</v>
      </c>
    </row>
    <row r="14" spans="1:25" x14ac:dyDescent="0.3">
      <c r="A14" s="40" t="s">
        <v>28</v>
      </c>
      <c r="B14" s="55">
        <v>5.0000000000000001E-3</v>
      </c>
      <c r="G14" s="47"/>
    </row>
    <row r="15" spans="1:25" x14ac:dyDescent="0.3">
      <c r="A15" s="132" t="s">
        <v>29</v>
      </c>
      <c r="B15" s="133"/>
      <c r="I15" s="52" t="s">
        <v>30</v>
      </c>
    </row>
    <row r="16" spans="1:25" x14ac:dyDescent="0.3">
      <c r="C16" s="27" t="s">
        <v>31</v>
      </c>
      <c r="D16" s="32">
        <v>2024</v>
      </c>
      <c r="E16" s="32">
        <f>D16+1</f>
        <v>2025</v>
      </c>
      <c r="F16" s="32">
        <f t="shared" ref="F16:I16" si="2">E16+1</f>
        <v>2026</v>
      </c>
      <c r="G16" s="32">
        <f t="shared" si="2"/>
        <v>2027</v>
      </c>
      <c r="H16" s="32">
        <f t="shared" si="2"/>
        <v>2028</v>
      </c>
      <c r="I16" s="32">
        <f t="shared" si="2"/>
        <v>2029</v>
      </c>
      <c r="J16" s="33" t="s">
        <v>32</v>
      </c>
    </row>
    <row r="17" spans="3:10" x14ac:dyDescent="0.3">
      <c r="C17" s="34" t="s">
        <v>33</v>
      </c>
      <c r="D17" s="43">
        <f>income!B10</f>
        <v>391.03500000000003</v>
      </c>
      <c r="E17" s="43">
        <f>D17*(1+E18)</f>
        <v>427.33894779611074</v>
      </c>
      <c r="F17" s="43">
        <f t="shared" ref="F17:G17" si="3">E17*(1+F18)</f>
        <v>467.01337809527803</v>
      </c>
      <c r="G17" s="43">
        <f t="shared" si="3"/>
        <v>510.37120872030209</v>
      </c>
      <c r="H17" s="43">
        <f t="shared" ref="H17" si="4">G17*(1+H18)</f>
        <v>557.75440899142814</v>
      </c>
      <c r="I17" s="43">
        <f t="shared" ref="I17" si="5">H17*(1+I18)</f>
        <v>609.53669688656646</v>
      </c>
      <c r="J17" s="51"/>
    </row>
    <row r="18" spans="3:10" x14ac:dyDescent="0.3">
      <c r="C18" s="35" t="s">
        <v>34</v>
      </c>
      <c r="D18" s="43"/>
      <c r="E18" s="49">
        <f>income!$L$10</f>
        <v>9.2840660800467267E-2</v>
      </c>
      <c r="F18" s="49">
        <f>income!$L$10</f>
        <v>9.2840660800467267E-2</v>
      </c>
      <c r="G18" s="49">
        <f>income!$L$10</f>
        <v>9.2840660800467267E-2</v>
      </c>
      <c r="H18" s="49">
        <f>income!$L$10</f>
        <v>9.2840660800467267E-2</v>
      </c>
      <c r="I18" s="49">
        <f>income!$L$10</f>
        <v>9.2840660800467267E-2</v>
      </c>
      <c r="J18" s="28"/>
    </row>
    <row r="19" spans="3:10" x14ac:dyDescent="0.3">
      <c r="C19" s="36" t="s">
        <v>35</v>
      </c>
      <c r="D19" s="43">
        <f>D22-D21</f>
        <v>134.661</v>
      </c>
      <c r="E19" s="43">
        <f t="shared" ref="E19:F19" si="6">E22-E21</f>
        <v>132.37059663848174</v>
      </c>
      <c r="F19" s="43">
        <f t="shared" si="6"/>
        <v>145.56680069874926</v>
      </c>
      <c r="G19" s="43">
        <f>G22-G21</f>
        <v>160.13422309653609</v>
      </c>
      <c r="H19" s="43">
        <f t="shared" ref="H19" si="7">H22-H21</f>
        <v>176.22369854221881</v>
      </c>
      <c r="I19" s="43">
        <f>I22-I21</f>
        <v>194.00385558215208</v>
      </c>
      <c r="J19" s="28"/>
    </row>
    <row r="20" spans="3:10" x14ac:dyDescent="0.3">
      <c r="C20" s="35" t="s">
        <v>36</v>
      </c>
      <c r="D20" s="53">
        <f>D19/D17</f>
        <v>0.34437070850435381</v>
      </c>
      <c r="E20" s="53">
        <f t="shared" ref="E20:I20" si="8">E19/E17</f>
        <v>0.30975551683540337</v>
      </c>
      <c r="F20" s="53">
        <f t="shared" si="8"/>
        <v>0.31169728219017179</v>
      </c>
      <c r="G20" s="53">
        <f t="shared" si="8"/>
        <v>0.31376029909299641</v>
      </c>
      <c r="H20" s="53">
        <f t="shared" si="8"/>
        <v>0.31595213897256186</v>
      </c>
      <c r="I20" s="53">
        <f t="shared" si="8"/>
        <v>0.31828084604765938</v>
      </c>
      <c r="J20" s="28"/>
    </row>
    <row r="21" spans="3:10" x14ac:dyDescent="0.3">
      <c r="C21" s="37" t="s">
        <v>37</v>
      </c>
      <c r="D21" s="46">
        <f>-cf!B12</f>
        <v>-11.445</v>
      </c>
      <c r="E21" s="45">
        <f>D21*(1+$J$21)</f>
        <v>-13.288583216985073</v>
      </c>
      <c r="F21" s="45">
        <f>E21*(1+$J$21)</f>
        <v>-15.429134461750751</v>
      </c>
      <c r="G21" s="45">
        <f>F21*(1+$J$21)</f>
        <v>-17.914489931063962</v>
      </c>
      <c r="H21" s="45">
        <f>G21*(1+$J$21)</f>
        <v>-20.800191370798132</v>
      </c>
      <c r="I21" s="50">
        <f>I28</f>
        <v>-24.150727301010544</v>
      </c>
      <c r="J21" s="57">
        <f>(I21/D21)^(1/5)-1</f>
        <v>0.1610819761454847</v>
      </c>
    </row>
    <row r="22" spans="3:10" x14ac:dyDescent="0.3">
      <c r="C22" s="34" t="s">
        <v>38</v>
      </c>
      <c r="D22" s="43">
        <f>income!B20</f>
        <v>123.21599999999999</v>
      </c>
      <c r="E22" s="43">
        <f>E23*E17</f>
        <v>119.08201342149667</v>
      </c>
      <c r="F22" s="43">
        <f t="shared" ref="F22:G22" si="9">F23*F17</f>
        <v>130.13766623699851</v>
      </c>
      <c r="G22" s="43">
        <f t="shared" si="9"/>
        <v>142.21973316547212</v>
      </c>
      <c r="H22" s="43">
        <f>H23*H17</f>
        <v>155.42350717142068</v>
      </c>
      <c r="I22" s="43">
        <f t="shared" ref="I22" si="10">I23*I17</f>
        <v>169.85312828114155</v>
      </c>
      <c r="J22" s="28"/>
    </row>
    <row r="23" spans="3:10" x14ac:dyDescent="0.3">
      <c r="C23" s="35" t="s">
        <v>39</v>
      </c>
      <c r="D23" s="53">
        <f>D22/D17</f>
        <v>0.31510222870075566</v>
      </c>
      <c r="E23" s="53">
        <f>income!$L$21</f>
        <v>0.27865939679879664</v>
      </c>
      <c r="F23" s="53">
        <f>income!$L$21</f>
        <v>0.27865939679879664</v>
      </c>
      <c r="G23" s="53">
        <f>income!$L$21</f>
        <v>0.27865939679879664</v>
      </c>
      <c r="H23" s="53">
        <f>income!$L$21</f>
        <v>0.27865939679879664</v>
      </c>
      <c r="I23" s="53">
        <f>income!$L$21</f>
        <v>0.27865939679879664</v>
      </c>
      <c r="J23" s="54"/>
    </row>
    <row r="24" spans="3:10" x14ac:dyDescent="0.3">
      <c r="C24" s="37" t="s">
        <v>40</v>
      </c>
      <c r="D24" s="46">
        <f>-income!B32</f>
        <v>-29.748999999999999</v>
      </c>
      <c r="E24" s="45">
        <f>-E22*$B$7</f>
        <v>-23.043957588958865</v>
      </c>
      <c r="F24" s="45">
        <f t="shared" ref="F24:I24" si="11">-F22*$B$7</f>
        <v>-25.183373838975744</v>
      </c>
      <c r="G24" s="45">
        <f>-G22*$B$7</f>
        <v>-27.521414907371454</v>
      </c>
      <c r="H24" s="45">
        <f>-H22*$B$7</f>
        <v>-30.076521253535649</v>
      </c>
      <c r="I24" s="45">
        <f t="shared" si="11"/>
        <v>-32.868845361293197</v>
      </c>
      <c r="J24" s="29"/>
    </row>
    <row r="25" spans="3:10" x14ac:dyDescent="0.3">
      <c r="C25" s="34" t="s">
        <v>41</v>
      </c>
      <c r="D25" s="43">
        <f>D22+D24</f>
        <v>93.466999999999999</v>
      </c>
      <c r="E25" s="43">
        <f>E22+E24</f>
        <v>96.038055832537808</v>
      </c>
      <c r="F25" s="43">
        <f t="shared" ref="F25:I25" si="12">F22+F24</f>
        <v>104.95429239802277</v>
      </c>
      <c r="G25" s="43">
        <f>G22+G24</f>
        <v>114.69831825810067</v>
      </c>
      <c r="H25" s="43">
        <f>H22+H24</f>
        <v>125.34698591788504</v>
      </c>
      <c r="I25" s="43">
        <f t="shared" si="12"/>
        <v>136.98428291984834</v>
      </c>
      <c r="J25" s="28"/>
    </row>
    <row r="26" spans="3:10" x14ac:dyDescent="0.3">
      <c r="C26" s="35" t="s">
        <v>42</v>
      </c>
      <c r="D26" s="43">
        <f>-dcf!D21</f>
        <v>11.445</v>
      </c>
      <c r="E26" s="43">
        <f>-E21</f>
        <v>13.288583216985073</v>
      </c>
      <c r="F26" s="43">
        <f t="shared" ref="F26:I26" si="13">-F21</f>
        <v>15.429134461750751</v>
      </c>
      <c r="G26" s="43">
        <f t="shared" si="13"/>
        <v>17.914489931063962</v>
      </c>
      <c r="H26" s="43">
        <f t="shared" si="13"/>
        <v>20.800191370798132</v>
      </c>
      <c r="I26" s="43">
        <f t="shared" si="13"/>
        <v>24.150727301010544</v>
      </c>
      <c r="J26" s="28"/>
    </row>
    <row r="27" spans="3:10" x14ac:dyDescent="0.3">
      <c r="C27" s="35" t="s">
        <v>43</v>
      </c>
      <c r="D27" s="43">
        <f>-nwc!C24</f>
        <v>-5.5029999999999859</v>
      </c>
      <c r="E27" s="43">
        <f>-nwc!H24</f>
        <v>30.187228128270192</v>
      </c>
      <c r="F27" s="43">
        <f>-nwc!I24</f>
        <v>9.2997773313013425</v>
      </c>
      <c r="G27" s="43">
        <f>-nwc!J24</f>
        <v>10.163174804036615</v>
      </c>
      <c r="H27" s="43">
        <f>-nwc!K24</f>
        <v>11.106730668673976</v>
      </c>
      <c r="I27" s="43">
        <f>-nwc!L24</f>
        <v>12.137886883286512</v>
      </c>
      <c r="J27" s="28"/>
    </row>
    <row r="28" spans="3:10" x14ac:dyDescent="0.3">
      <c r="C28" s="37" t="s">
        <v>44</v>
      </c>
      <c r="D28" s="46">
        <f>cf!B26</f>
        <v>-9.4469999999999992</v>
      </c>
      <c r="E28" s="45">
        <f>cf!$L$27*dcf!E17</f>
        <v>-16.931788432166019</v>
      </c>
      <c r="F28" s="45">
        <f>cf!$L$27*dcf!F17</f>
        <v>-18.503746858742019</v>
      </c>
      <c r="G28" s="45">
        <f>cf!$L$27*dcf!G17</f>
        <v>-20.221646944392198</v>
      </c>
      <c r="H28" s="45">
        <f>cf!$L$27*dcf!H17</f>
        <v>-22.099038009183321</v>
      </c>
      <c r="I28" s="50">
        <f>cf!$L$27*dcf!I17</f>
        <v>-24.150727301010544</v>
      </c>
      <c r="J28" s="29"/>
    </row>
    <row r="29" spans="3:10" x14ac:dyDescent="0.3">
      <c r="C29" s="34" t="s">
        <v>45</v>
      </c>
      <c r="D29" s="43">
        <f>D25+D26+D28+D27</f>
        <v>89.962000000000018</v>
      </c>
      <c r="E29" s="43">
        <f t="shared" ref="E29:I29" si="14">E25+E26+E28+E27</f>
        <v>122.58207874562706</v>
      </c>
      <c r="F29" s="43">
        <f t="shared" si="14"/>
        <v>111.17945733233284</v>
      </c>
      <c r="G29" s="43">
        <f t="shared" si="14"/>
        <v>122.55433604880905</v>
      </c>
      <c r="H29" s="43">
        <f t="shared" si="14"/>
        <v>135.15486994817383</v>
      </c>
      <c r="I29" s="72">
        <f t="shared" si="14"/>
        <v>149.12216980313485</v>
      </c>
      <c r="J29" s="28"/>
    </row>
    <row r="30" spans="3:10" x14ac:dyDescent="0.3">
      <c r="C30" s="37" t="s">
        <v>46</v>
      </c>
      <c r="D30" s="46"/>
      <c r="E30" s="73">
        <v>1</v>
      </c>
      <c r="F30" s="73">
        <f>E30+1</f>
        <v>2</v>
      </c>
      <c r="G30" s="73">
        <f t="shared" ref="G30:I30" si="15">F30+1</f>
        <v>3</v>
      </c>
      <c r="H30" s="73">
        <f t="shared" si="15"/>
        <v>4</v>
      </c>
      <c r="I30" s="73">
        <f t="shared" si="15"/>
        <v>5</v>
      </c>
      <c r="J30" s="29"/>
    </row>
    <row r="31" spans="3:10" x14ac:dyDescent="0.3">
      <c r="C31" s="37" t="s">
        <v>47</v>
      </c>
      <c r="D31" s="45"/>
      <c r="E31" s="45">
        <f>E29/(1+$B$13)^E30</f>
        <v>112.43777585151093</v>
      </c>
      <c r="F31" s="45">
        <f t="shared" ref="F31:H31" si="16">F29/(1+$B$13)^F30</f>
        <v>93.539507421441286</v>
      </c>
      <c r="G31" s="45">
        <f t="shared" si="16"/>
        <v>94.576769267356013</v>
      </c>
      <c r="H31" s="45">
        <f t="shared" si="16"/>
        <v>95.669335249682007</v>
      </c>
      <c r="I31" s="45">
        <f>I29/(1+$B$13)^I30</f>
        <v>96.820770835868146</v>
      </c>
      <c r="J31" s="29"/>
    </row>
    <row r="32" spans="3:10" ht="24" customHeight="1" x14ac:dyDescent="0.3"/>
    <row r="33" spans="3:9" ht="21" hidden="1" customHeight="1" x14ac:dyDescent="0.3">
      <c r="I33" s="56"/>
    </row>
    <row r="34" spans="3:9" x14ac:dyDescent="0.3">
      <c r="C34" s="129"/>
      <c r="D34" s="129"/>
    </row>
  </sheetData>
  <mergeCells count="5">
    <mergeCell ref="A1:B1"/>
    <mergeCell ref="C34:D34"/>
    <mergeCell ref="E2:F2"/>
    <mergeCell ref="A15:B15"/>
    <mergeCell ref="H2:I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A870B-24A3-4E9B-AAD8-295E04475DE5}">
  <dimension ref="A1:S21"/>
  <sheetViews>
    <sheetView workbookViewId="0">
      <selection activeCell="C26" sqref="C26"/>
    </sheetView>
  </sheetViews>
  <sheetFormatPr defaultColWidth="9.109375" defaultRowHeight="14.4" x14ac:dyDescent="0.3"/>
  <cols>
    <col min="1" max="1" width="26.33203125" customWidth="1"/>
    <col min="2" max="2" width="11.109375" customWidth="1"/>
    <col min="3" max="3" width="16.44140625" customWidth="1"/>
    <col min="4" max="4" width="10.88671875" customWidth="1"/>
    <col min="5" max="5" width="8.33203125" customWidth="1"/>
    <col min="6" max="6" width="10.6640625" customWidth="1"/>
    <col min="7" max="7" width="10.44140625" customWidth="1"/>
    <col min="8" max="8" width="8.33203125" customWidth="1"/>
    <col min="9" max="9" width="9" customWidth="1"/>
    <col min="10" max="10" width="10.6640625" customWidth="1"/>
    <col min="11" max="11" width="15.109375" customWidth="1"/>
    <col min="12" max="12" width="6.88671875" customWidth="1"/>
    <col min="13" max="13" width="7.109375" customWidth="1"/>
    <col min="14" max="14" width="6.88671875" customWidth="1"/>
    <col min="15" max="15" width="9.5546875" customWidth="1"/>
    <col min="16" max="16" width="6.88671875" customWidth="1"/>
    <col min="17" max="18" width="9" customWidth="1"/>
    <col min="19" max="19" width="15.5546875" customWidth="1"/>
  </cols>
  <sheetData>
    <row r="1" spans="1:19" ht="15" customHeight="1" x14ac:dyDescent="0.3">
      <c r="A1" s="1" t="s">
        <v>48</v>
      </c>
    </row>
    <row r="2" spans="1:19" ht="15" customHeight="1" x14ac:dyDescent="0.3">
      <c r="A2" s="2" t="s">
        <v>49</v>
      </c>
    </row>
    <row r="3" spans="1:19" ht="15" customHeight="1" x14ac:dyDescent="0.3">
      <c r="A3" s="1" t="s">
        <v>50</v>
      </c>
    </row>
    <row r="4" spans="1:19" ht="15" customHeight="1" x14ac:dyDescent="0.3">
      <c r="A4" s="4" t="s">
        <v>51</v>
      </c>
      <c r="B4" s="4"/>
      <c r="C4" s="4" t="s">
        <v>52</v>
      </c>
      <c r="D4" s="4" t="s">
        <v>53</v>
      </c>
      <c r="E4" s="4" t="s">
        <v>53</v>
      </c>
      <c r="F4" s="4"/>
      <c r="G4" s="4"/>
      <c r="H4" s="4"/>
      <c r="I4" s="4"/>
      <c r="J4" s="4" t="s">
        <v>35</v>
      </c>
    </row>
    <row r="5" spans="1:19" ht="15" customHeight="1" x14ac:dyDescent="0.3">
      <c r="A5" s="4" t="s">
        <v>54</v>
      </c>
      <c r="B5" s="4" t="s">
        <v>1</v>
      </c>
      <c r="C5" s="4" t="s">
        <v>55</v>
      </c>
      <c r="D5" s="4" t="s">
        <v>56</v>
      </c>
      <c r="E5" s="4" t="s">
        <v>57</v>
      </c>
      <c r="F5" s="4" t="s">
        <v>58</v>
      </c>
      <c r="G5" s="4" t="s">
        <v>59</v>
      </c>
      <c r="H5" s="4" t="s">
        <v>60</v>
      </c>
      <c r="I5" s="4" t="s">
        <v>61</v>
      </c>
      <c r="J5" s="4" t="s">
        <v>62</v>
      </c>
    </row>
    <row r="6" spans="1:19" ht="15" customHeight="1" x14ac:dyDescent="0.3">
      <c r="A6" s="22" t="s">
        <v>63</v>
      </c>
      <c r="B6" s="22" t="s">
        <v>64</v>
      </c>
      <c r="C6" s="95" t="s">
        <v>65</v>
      </c>
      <c r="D6" s="80">
        <v>21.749561</v>
      </c>
      <c r="E6" s="80">
        <v>23.713722000000001</v>
      </c>
      <c r="F6" s="80">
        <v>31.038250000000001</v>
      </c>
      <c r="G6" s="78">
        <v>29.101883999999998</v>
      </c>
      <c r="H6" s="78">
        <v>138.01546200000001</v>
      </c>
      <c r="I6" s="78">
        <v>62.490727</v>
      </c>
      <c r="J6" s="78">
        <v>34.684762999999997</v>
      </c>
    </row>
    <row r="7" spans="1:19" ht="15" customHeight="1" x14ac:dyDescent="0.3">
      <c r="A7" s="17" t="s">
        <v>66</v>
      </c>
      <c r="B7" s="17" t="s">
        <v>67</v>
      </c>
      <c r="C7" s="96" t="s">
        <v>68</v>
      </c>
      <c r="D7" s="79">
        <v>3.5945429999999998</v>
      </c>
      <c r="E7" s="79">
        <v>8.2770130000000002</v>
      </c>
      <c r="F7" s="79">
        <v>10.586793999999999</v>
      </c>
      <c r="G7" s="77">
        <v>6.9291109999999998</v>
      </c>
      <c r="H7" s="77">
        <v>9.0268219999999992</v>
      </c>
      <c r="I7" s="77">
        <v>8.9283850000000005</v>
      </c>
      <c r="J7" s="77">
        <v>25.046218</v>
      </c>
    </row>
    <row r="8" spans="1:19" ht="15" customHeight="1" x14ac:dyDescent="0.3">
      <c r="A8" s="22" t="s">
        <v>69</v>
      </c>
      <c r="B8" s="22" t="s">
        <v>70</v>
      </c>
      <c r="C8" s="95" t="s">
        <v>71</v>
      </c>
      <c r="D8" s="80">
        <v>21.571728</v>
      </c>
      <c r="E8" s="80">
        <v>26.752262000000002</v>
      </c>
      <c r="F8" s="80">
        <v>33.705547000000003</v>
      </c>
      <c r="G8" s="78">
        <v>18.461189000000001</v>
      </c>
      <c r="H8" s="78">
        <v>33.609659999999998</v>
      </c>
      <c r="I8" s="78">
        <v>25.869395999999998</v>
      </c>
      <c r="J8" s="78">
        <v>56.094219000000002</v>
      </c>
    </row>
    <row r="9" spans="1:19" ht="15" customHeight="1" x14ac:dyDescent="0.3">
      <c r="A9" s="17" t="s">
        <v>72</v>
      </c>
      <c r="B9" s="17" t="s">
        <v>73</v>
      </c>
      <c r="C9" s="95">
        <v>45658</v>
      </c>
      <c r="D9" s="79" t="s">
        <v>74</v>
      </c>
      <c r="E9" s="79" t="s">
        <v>75</v>
      </c>
      <c r="F9" s="79" t="s">
        <v>76</v>
      </c>
      <c r="G9" s="77">
        <v>0.82199999999999995</v>
      </c>
      <c r="H9" s="93">
        <v>1.1919999999999999</v>
      </c>
      <c r="I9" s="77">
        <v>1.0269999999999999</v>
      </c>
      <c r="J9" s="94">
        <v>0.63800000000000001</v>
      </c>
    </row>
    <row r="10" spans="1:19" ht="15" customHeight="1" x14ac:dyDescent="0.3">
      <c r="A10" s="90" t="s">
        <v>77</v>
      </c>
      <c r="B10" s="90" t="s">
        <v>78</v>
      </c>
      <c r="C10" s="95">
        <v>45747</v>
      </c>
      <c r="D10" s="90" t="s">
        <v>79</v>
      </c>
      <c r="E10" s="90" t="s">
        <v>80</v>
      </c>
      <c r="F10" s="90" t="s">
        <v>81</v>
      </c>
      <c r="G10" s="91">
        <v>0.112</v>
      </c>
      <c r="H10" s="91">
        <v>0.252</v>
      </c>
      <c r="I10" s="91">
        <v>0.16700000000000001</v>
      </c>
      <c r="J10" s="91">
        <v>0.19700000000000001</v>
      </c>
      <c r="K10" s="89"/>
      <c r="L10" s="89"/>
      <c r="M10" s="89"/>
      <c r="N10" s="89"/>
      <c r="O10" s="89"/>
      <c r="P10" s="89"/>
      <c r="Q10" s="89"/>
      <c r="R10" s="89"/>
      <c r="S10" s="89"/>
    </row>
    <row r="11" spans="1:19" ht="15" customHeight="1" x14ac:dyDescent="0.3">
      <c r="A11" s="17" t="s">
        <v>82</v>
      </c>
      <c r="B11" s="17" t="s">
        <v>83</v>
      </c>
      <c r="C11" s="96" t="s">
        <v>71</v>
      </c>
      <c r="D11" s="79">
        <v>14.50006</v>
      </c>
      <c r="E11" s="79">
        <v>16.528521000000001</v>
      </c>
      <c r="F11" s="79">
        <v>18.312089</v>
      </c>
      <c r="G11" s="77">
        <v>25.148517999999999</v>
      </c>
      <c r="H11" s="77">
        <v>34.788932000000003</v>
      </c>
      <c r="I11" s="77">
        <v>32.274675999999999</v>
      </c>
      <c r="J11" s="77">
        <v>37.156916000000002</v>
      </c>
    </row>
    <row r="12" spans="1:19" ht="15" customHeight="1" x14ac:dyDescent="0.3">
      <c r="D12" s="92"/>
    </row>
    <row r="13" spans="1:19" ht="15" customHeight="1" x14ac:dyDescent="0.3">
      <c r="C13" s="83" t="s">
        <v>84</v>
      </c>
      <c r="D13" s="81">
        <f>MEDIAN(D6:D11)</f>
        <v>18.035893999999999</v>
      </c>
      <c r="E13" s="81">
        <f t="shared" ref="E13:J13" si="0">MEDIAN(E6:E11)</f>
        <v>20.121121500000001</v>
      </c>
      <c r="F13" s="81">
        <f t="shared" si="0"/>
        <v>24.675169500000003</v>
      </c>
      <c r="G13" s="81">
        <f t="shared" si="0"/>
        <v>12.695150000000002</v>
      </c>
      <c r="H13" s="81">
        <f t="shared" si="0"/>
        <v>21.318241</v>
      </c>
      <c r="I13" s="81">
        <f t="shared" si="0"/>
        <v>17.3988905</v>
      </c>
      <c r="J13" s="81">
        <f t="shared" si="0"/>
        <v>29.8654905</v>
      </c>
    </row>
    <row r="14" spans="1:19" x14ac:dyDescent="0.3">
      <c r="C14" s="83" t="s">
        <v>85</v>
      </c>
      <c r="D14" s="82">
        <f>(D13*B20+B18-B17)/B16</f>
        <v>154.12960018315044</v>
      </c>
      <c r="E14" s="82">
        <f>(E13*B21+B18-B17)/B16</f>
        <v>157.4079149138164</v>
      </c>
      <c r="F14" s="82">
        <f>F13*(B19/B16)</f>
        <v>150.11276139276143</v>
      </c>
    </row>
    <row r="15" spans="1:19" x14ac:dyDescent="0.3">
      <c r="A15" s="136" t="s">
        <v>2</v>
      </c>
      <c r="B15" s="136"/>
    </row>
    <row r="16" spans="1:19" x14ac:dyDescent="0.3">
      <c r="A16" t="s">
        <v>86</v>
      </c>
      <c r="B16" s="26">
        <f>dcf!B4</f>
        <v>15.408094999999999</v>
      </c>
    </row>
    <row r="17" spans="1:11" x14ac:dyDescent="0.3">
      <c r="A17" t="s">
        <v>11</v>
      </c>
      <c r="B17" s="26">
        <f>dcf!B6</f>
        <v>119.059</v>
      </c>
    </row>
    <row r="18" spans="1:11" x14ac:dyDescent="0.3">
      <c r="A18" t="s">
        <v>9</v>
      </c>
      <c r="B18" s="26">
        <f>dcf!B5</f>
        <v>65.171000000000006</v>
      </c>
    </row>
    <row r="19" spans="1:11" x14ac:dyDescent="0.3">
      <c r="A19" t="s">
        <v>87</v>
      </c>
      <c r="B19" s="26">
        <f>income!B39</f>
        <v>93.736000000000004</v>
      </c>
    </row>
    <row r="20" spans="1:11" x14ac:dyDescent="0.3">
      <c r="A20" t="s">
        <v>35</v>
      </c>
      <c r="B20" s="26">
        <f>income!B20+income!B13</f>
        <v>134.661</v>
      </c>
      <c r="K20" t="s">
        <v>88</v>
      </c>
    </row>
    <row r="21" spans="1:11" x14ac:dyDescent="0.3">
      <c r="A21" t="s">
        <v>38</v>
      </c>
      <c r="B21" s="26">
        <f>income!B20</f>
        <v>123.21599999999999</v>
      </c>
    </row>
  </sheetData>
  <mergeCells count="1">
    <mergeCell ref="A15:B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D1DA6-6EDC-4035-A844-ABBE4DB2755C}">
  <dimension ref="B1:L24"/>
  <sheetViews>
    <sheetView topLeftCell="A22" workbookViewId="0">
      <selection sqref="A1:XFD1048576"/>
    </sheetView>
  </sheetViews>
  <sheetFormatPr defaultRowHeight="14.4" x14ac:dyDescent="0.3"/>
  <cols>
    <col min="2" max="2" width="25" customWidth="1"/>
    <col min="8" max="13" width="12.5546875" customWidth="1"/>
  </cols>
  <sheetData>
    <row r="1" spans="2:12" x14ac:dyDescent="0.3">
      <c r="B1" s="137" t="s">
        <v>89</v>
      </c>
      <c r="C1" s="137"/>
    </row>
    <row r="2" spans="2:12" x14ac:dyDescent="0.3">
      <c r="B2" t="s">
        <v>90</v>
      </c>
    </row>
    <row r="3" spans="2:12" x14ac:dyDescent="0.3">
      <c r="B3" t="s">
        <v>91</v>
      </c>
    </row>
    <row r="4" spans="2:12" x14ac:dyDescent="0.3">
      <c r="B4" t="s">
        <v>92</v>
      </c>
    </row>
    <row r="5" spans="2:12" x14ac:dyDescent="0.3">
      <c r="B5" t="s">
        <v>93</v>
      </c>
    </row>
    <row r="6" spans="2:12" ht="15" thickBot="1" x14ac:dyDescent="0.35"/>
    <row r="7" spans="2:12" x14ac:dyDescent="0.3">
      <c r="B7" s="27" t="s">
        <v>31</v>
      </c>
      <c r="C7" s="32">
        <v>2024</v>
      </c>
      <c r="D7" s="32">
        <f>C7-1</f>
        <v>2023</v>
      </c>
      <c r="E7" s="32">
        <f t="shared" ref="E7:G7" si="0">D7-1</f>
        <v>2022</v>
      </c>
      <c r="F7" s="32">
        <f t="shared" si="0"/>
        <v>2021</v>
      </c>
      <c r="G7" s="32">
        <f t="shared" si="0"/>
        <v>2020</v>
      </c>
      <c r="H7" s="58">
        <f>C7+1</f>
        <v>2025</v>
      </c>
      <c r="I7" s="58">
        <f>H7+1</f>
        <v>2026</v>
      </c>
      <c r="J7" s="58">
        <f t="shared" ref="J7:L7" si="1">I7+1</f>
        <v>2027</v>
      </c>
      <c r="K7" s="58">
        <f t="shared" si="1"/>
        <v>2028</v>
      </c>
      <c r="L7" s="58">
        <f t="shared" si="1"/>
        <v>2029</v>
      </c>
    </row>
    <row r="8" spans="2:12" x14ac:dyDescent="0.3">
      <c r="B8" s="61" t="s">
        <v>33</v>
      </c>
      <c r="C8" s="62">
        <f>dcf!D17</f>
        <v>391.03500000000003</v>
      </c>
      <c r="D8" s="62">
        <f>income!C10</f>
        <v>383.28500000000003</v>
      </c>
      <c r="E8" s="62">
        <f>income!D10</f>
        <v>394.32799999999997</v>
      </c>
      <c r="F8" s="62">
        <f>income!E10</f>
        <v>365.81700000000001</v>
      </c>
      <c r="G8" s="62">
        <f>income!F10</f>
        <v>274.14999999999998</v>
      </c>
      <c r="H8" s="67">
        <f>dcf!E17</f>
        <v>427.33894779611074</v>
      </c>
      <c r="I8" s="67">
        <f>dcf!F17</f>
        <v>467.01337809527803</v>
      </c>
      <c r="J8" s="67">
        <f>dcf!G17</f>
        <v>510.37120872030209</v>
      </c>
      <c r="K8" s="67">
        <f>dcf!H17</f>
        <v>557.75440899142814</v>
      </c>
      <c r="L8" s="67">
        <f>dcf!I17</f>
        <v>609.53669688656646</v>
      </c>
    </row>
    <row r="9" spans="2:12" x14ac:dyDescent="0.3">
      <c r="B9" s="35"/>
      <c r="C9" s="63"/>
      <c r="D9" s="64"/>
      <c r="E9" s="64"/>
      <c r="F9" s="64"/>
      <c r="G9" s="64"/>
      <c r="H9" s="59"/>
      <c r="I9" s="59"/>
      <c r="J9" s="59"/>
      <c r="K9" s="59"/>
      <c r="L9" s="59"/>
    </row>
    <row r="10" spans="2:12" x14ac:dyDescent="0.3">
      <c r="B10" s="36" t="s">
        <v>94</v>
      </c>
      <c r="C10" s="63">
        <f>balance!B14</f>
        <v>33.409999999999997</v>
      </c>
      <c r="D10" s="63">
        <f>balance!C14</f>
        <v>29.507999999999999</v>
      </c>
      <c r="E10" s="63">
        <f>balance!D14</f>
        <v>28.184000000000001</v>
      </c>
      <c r="F10" s="63">
        <f>balance!E14</f>
        <v>26.277999999999999</v>
      </c>
      <c r="G10" s="63">
        <f>balance!F14</f>
        <v>16.12</v>
      </c>
      <c r="H10" s="69">
        <f>H11*H$8</f>
        <v>31.155929976416996</v>
      </c>
      <c r="I10" s="69">
        <f>I11*I$8</f>
        <v>34.048467103280636</v>
      </c>
      <c r="J10" s="69">
        <f t="shared" ref="J10:L10" si="2">J11*J$8</f>
        <v>37.209549288392182</v>
      </c>
      <c r="K10" s="69">
        <f t="shared" si="2"/>
        <v>40.664108432414068</v>
      </c>
      <c r="L10" s="69">
        <f t="shared" si="2"/>
        <v>44.439391130141246</v>
      </c>
    </row>
    <row r="11" spans="2:12" x14ac:dyDescent="0.3">
      <c r="B11" s="35" t="s">
        <v>95</v>
      </c>
      <c r="C11" s="66">
        <f>C10/C$8</f>
        <v>8.5439922257598416E-2</v>
      </c>
      <c r="D11" s="66">
        <f t="shared" ref="D11:G11" si="3">D10/D$8</f>
        <v>7.6987098373273138E-2</v>
      </c>
      <c r="E11" s="66">
        <f t="shared" si="3"/>
        <v>7.1473494147004532E-2</v>
      </c>
      <c r="F11" s="66">
        <f t="shared" si="3"/>
        <v>7.1833731073186857E-2</v>
      </c>
      <c r="G11" s="66">
        <f t="shared" si="3"/>
        <v>5.8799927047236925E-2</v>
      </c>
      <c r="H11" s="68">
        <f>AVERAGE($C11:$G11)</f>
        <v>7.2906834579659976E-2</v>
      </c>
      <c r="I11" s="68">
        <f t="shared" ref="I11:L13" si="4">AVERAGE($C11:$G11)</f>
        <v>7.2906834579659976E-2</v>
      </c>
      <c r="J11" s="68">
        <f t="shared" si="4"/>
        <v>7.2906834579659976E-2</v>
      </c>
      <c r="K11" s="68">
        <f t="shared" si="4"/>
        <v>7.2906834579659976E-2</v>
      </c>
      <c r="L11" s="68">
        <f t="shared" si="4"/>
        <v>7.2906834579659976E-2</v>
      </c>
    </row>
    <row r="12" spans="2:12" x14ac:dyDescent="0.3">
      <c r="B12" s="35" t="s">
        <v>96</v>
      </c>
      <c r="C12" s="63">
        <f>balance!B18</f>
        <v>7.2859999999999996</v>
      </c>
      <c r="D12" s="63">
        <f>balance!C18</f>
        <v>6.3310000000000004</v>
      </c>
      <c r="E12" s="63">
        <f>balance!D18</f>
        <v>4.9459999999999997</v>
      </c>
      <c r="F12" s="63">
        <f>balance!E18</f>
        <v>6.58</v>
      </c>
      <c r="G12" s="63">
        <f>balance!F18</f>
        <v>4.0609999999999999</v>
      </c>
      <c r="H12" s="69">
        <f>H13*H$8</f>
        <v>6.8795921153695883</v>
      </c>
      <c r="I12" s="69">
        <f>I13*I$8</f>
        <v>7.5182979933981846</v>
      </c>
      <c r="J12" s="69">
        <f t="shared" ref="J12" si="5">J13*J$8</f>
        <v>8.2163017472000988</v>
      </c>
      <c r="K12" s="69">
        <f t="shared" ref="K12" si="6">K13*K$8</f>
        <v>8.9791086307461896</v>
      </c>
      <c r="L12" s="69">
        <f t="shared" ref="L12" si="7">L13*L$8</f>
        <v>9.8127350094238448</v>
      </c>
    </row>
    <row r="13" spans="2:12" x14ac:dyDescent="0.3">
      <c r="B13" s="35" t="s">
        <v>95</v>
      </c>
      <c r="C13" s="66">
        <f>C12/C$8</f>
        <v>1.8632603219660641E-2</v>
      </c>
      <c r="D13" s="66">
        <f t="shared" ref="D13" si="8">D12/D$8</f>
        <v>1.6517734844828262E-2</v>
      </c>
      <c r="E13" s="66">
        <f t="shared" ref="E13" si="9">E12/E$8</f>
        <v>1.2542857722505123E-2</v>
      </c>
      <c r="F13" s="66">
        <f t="shared" ref="F13" si="10">F12/F$8</f>
        <v>1.7987135644324893E-2</v>
      </c>
      <c r="G13" s="66">
        <f t="shared" ref="G13" si="11">G12/G$8</f>
        <v>1.4813058544592377E-2</v>
      </c>
      <c r="H13" s="68">
        <f>AVERAGE($C13:$G13)</f>
        <v>1.6098677995182258E-2</v>
      </c>
      <c r="I13" s="68">
        <f t="shared" si="4"/>
        <v>1.6098677995182258E-2</v>
      </c>
      <c r="J13" s="68">
        <f t="shared" si="4"/>
        <v>1.6098677995182258E-2</v>
      </c>
      <c r="K13" s="68">
        <f t="shared" si="4"/>
        <v>1.6098677995182258E-2</v>
      </c>
      <c r="L13" s="68">
        <f t="shared" si="4"/>
        <v>1.6098677995182258E-2</v>
      </c>
    </row>
    <row r="14" spans="2:12" x14ac:dyDescent="0.3">
      <c r="B14" s="34" t="s">
        <v>97</v>
      </c>
      <c r="C14" s="63">
        <f>C12+C10</f>
        <v>40.695999999999998</v>
      </c>
      <c r="D14" s="63">
        <f t="shared" ref="D14:L14" si="12">D12+D10</f>
        <v>35.838999999999999</v>
      </c>
      <c r="E14" s="63">
        <f t="shared" si="12"/>
        <v>33.130000000000003</v>
      </c>
      <c r="F14" s="63">
        <f t="shared" si="12"/>
        <v>32.857999999999997</v>
      </c>
      <c r="G14" s="63">
        <f t="shared" si="12"/>
        <v>20.181000000000001</v>
      </c>
      <c r="H14" s="63">
        <f t="shared" si="12"/>
        <v>38.035522091786582</v>
      </c>
      <c r="I14" s="63">
        <f t="shared" si="12"/>
        <v>41.566765096678822</v>
      </c>
      <c r="J14" s="63">
        <f t="shared" si="12"/>
        <v>45.425851035592281</v>
      </c>
      <c r="K14" s="63">
        <f t="shared" si="12"/>
        <v>49.643217063160257</v>
      </c>
      <c r="L14" s="63">
        <f t="shared" si="12"/>
        <v>54.252126139565092</v>
      </c>
    </row>
    <row r="15" spans="2:12" x14ac:dyDescent="0.3">
      <c r="B15" s="35"/>
      <c r="C15" s="66"/>
      <c r="D15" s="66"/>
      <c r="E15" s="66"/>
      <c r="F15" s="66"/>
      <c r="G15" s="66"/>
      <c r="H15" s="60"/>
      <c r="I15" s="60"/>
      <c r="J15" s="60"/>
      <c r="K15" s="60"/>
      <c r="L15" s="60"/>
    </row>
    <row r="16" spans="2:12" x14ac:dyDescent="0.3">
      <c r="B16" s="35" t="s">
        <v>98</v>
      </c>
      <c r="C16" s="63">
        <f>balance!B42</f>
        <v>68.959999999999994</v>
      </c>
      <c r="D16" s="63">
        <f>balance!C42</f>
        <v>62.610999999999997</v>
      </c>
      <c r="E16" s="63">
        <f>balance!D42</f>
        <v>64.114999999999995</v>
      </c>
      <c r="F16" s="63">
        <f>balance!E42</f>
        <v>54.762999999999998</v>
      </c>
      <c r="G16" s="63">
        <f>balance!F42</f>
        <v>42.295999999999999</v>
      </c>
      <c r="H16" s="69">
        <f>H17*H$8</f>
        <v>68.910990483768074</v>
      </c>
      <c r="I16" s="69">
        <f>I17*I$8</f>
        <v>75.308732376695815</v>
      </c>
      <c r="J16" s="69">
        <f t="shared" ref="J16" si="13">J17*J$8</f>
        <v>82.300444854593806</v>
      </c>
      <c r="K16" s="69">
        <f t="shared" ref="K16" si="14">K17*K$8</f>
        <v>89.941272539066702</v>
      </c>
      <c r="L16" s="69">
        <f t="shared" ref="L16" si="15">L17*L$8</f>
        <v>98.291479714828583</v>
      </c>
    </row>
    <row r="17" spans="2:12" x14ac:dyDescent="0.3">
      <c r="B17" s="35" t="s">
        <v>99</v>
      </c>
      <c r="C17" s="66">
        <f>C16/C$8</f>
        <v>0.1763525004155638</v>
      </c>
      <c r="D17" s="66">
        <f t="shared" ref="D17" si="16">D16/D$8</f>
        <v>0.16335364024159565</v>
      </c>
      <c r="E17" s="66">
        <f t="shared" ref="E17" si="17">E16/E$8</f>
        <v>0.16259306972875373</v>
      </c>
      <c r="F17" s="66">
        <f t="shared" ref="F17" si="18">F16/F$8</f>
        <v>0.14970053332677266</v>
      </c>
      <c r="G17" s="66">
        <f t="shared" ref="G17" si="19">G16/G$8</f>
        <v>0.15428050337406529</v>
      </c>
      <c r="H17" s="68">
        <f>AVERAGE($C17:$G17)</f>
        <v>0.16125604941735022</v>
      </c>
      <c r="I17" s="68">
        <f t="shared" ref="I17:L19" si="20">AVERAGE($C17:$G17)</f>
        <v>0.16125604941735022</v>
      </c>
      <c r="J17" s="68">
        <f t="shared" si="20"/>
        <v>0.16125604941735022</v>
      </c>
      <c r="K17" s="68">
        <f t="shared" si="20"/>
        <v>0.16125604941735022</v>
      </c>
      <c r="L17" s="68">
        <f t="shared" si="20"/>
        <v>0.16125604941735022</v>
      </c>
    </row>
    <row r="18" spans="2:12" x14ac:dyDescent="0.3">
      <c r="B18" s="35" t="s">
        <v>100</v>
      </c>
      <c r="C18" s="63">
        <f>balance!B44</f>
        <v>58.32</v>
      </c>
      <c r="D18" s="63">
        <f>balance!C44</f>
        <v>65.314999999999998</v>
      </c>
      <c r="E18" s="63">
        <f>balance!D44</f>
        <v>67.093999999999994</v>
      </c>
      <c r="F18" s="63">
        <f>balance!E44</f>
        <v>53.576999999999998</v>
      </c>
      <c r="G18" s="63">
        <f>balance!F44</f>
        <v>47.866999999999997</v>
      </c>
      <c r="H18" s="69">
        <f>H19*H$8</f>
        <v>69.293759736288692</v>
      </c>
      <c r="I18" s="69">
        <f>I19*I$8</f>
        <v>75.72703817955454</v>
      </c>
      <c r="J18" s="69">
        <f t="shared" ref="J18" si="21">J19*J$8</f>
        <v>82.757586444606602</v>
      </c>
      <c r="K18" s="69">
        <f t="shared" ref="K18" si="22">K19*K$8</f>
        <v>90.440855456375672</v>
      </c>
      <c r="L18" s="69">
        <f t="shared" ref="L18" si="23">L19*L$8</f>
        <v>98.837444240305146</v>
      </c>
    </row>
    <row r="19" spans="2:12" x14ac:dyDescent="0.3">
      <c r="B19" s="37" t="s">
        <v>95</v>
      </c>
      <c r="C19" s="66">
        <f>C18/C$8</f>
        <v>0.14914265986420652</v>
      </c>
      <c r="D19" s="66">
        <f t="shared" ref="D19" si="24">D18/D$8</f>
        <v>0.17040844280365783</v>
      </c>
      <c r="E19" s="66">
        <f t="shared" ref="E19" si="25">E18/E$8</f>
        <v>0.17014769430524843</v>
      </c>
      <c r="F19" s="66">
        <f t="shared" ref="F19" si="26">F18/F$8</f>
        <v>0.14645847513920895</v>
      </c>
      <c r="G19" s="66">
        <f t="shared" ref="G19" si="27">G18/G$8</f>
        <v>0.17460149553164325</v>
      </c>
      <c r="H19" s="68">
        <f>AVERAGE($C19:$G19)</f>
        <v>0.16215175352879302</v>
      </c>
      <c r="I19" s="68">
        <f t="shared" si="20"/>
        <v>0.16215175352879302</v>
      </c>
      <c r="J19" s="68">
        <f t="shared" si="20"/>
        <v>0.16215175352879302</v>
      </c>
      <c r="K19" s="68">
        <f t="shared" si="20"/>
        <v>0.16215175352879302</v>
      </c>
      <c r="L19" s="68">
        <f t="shared" si="20"/>
        <v>0.16215175352879302</v>
      </c>
    </row>
    <row r="20" spans="2:12" x14ac:dyDescent="0.3">
      <c r="B20" s="34" t="s">
        <v>101</v>
      </c>
      <c r="C20" s="63">
        <f>C18+C16</f>
        <v>127.28</v>
      </c>
      <c r="D20" s="63">
        <f t="shared" ref="D20:L20" si="28">D18+D16</f>
        <v>127.92599999999999</v>
      </c>
      <c r="E20" s="63">
        <f t="shared" si="28"/>
        <v>131.209</v>
      </c>
      <c r="F20" s="63">
        <f t="shared" si="28"/>
        <v>108.34</v>
      </c>
      <c r="G20" s="63">
        <f t="shared" si="28"/>
        <v>90.162999999999997</v>
      </c>
      <c r="H20" s="63">
        <f t="shared" si="28"/>
        <v>138.20475022005678</v>
      </c>
      <c r="I20" s="63">
        <f t="shared" si="28"/>
        <v>151.03577055625036</v>
      </c>
      <c r="J20" s="63">
        <f t="shared" si="28"/>
        <v>165.05803129920042</v>
      </c>
      <c r="K20" s="63">
        <f t="shared" si="28"/>
        <v>180.38212799544237</v>
      </c>
      <c r="L20" s="63">
        <f t="shared" si="28"/>
        <v>197.12892395513373</v>
      </c>
    </row>
    <row r="21" spans="2:12" x14ac:dyDescent="0.3">
      <c r="B21" s="35"/>
      <c r="C21" s="63"/>
      <c r="D21" s="63"/>
      <c r="E21" s="63"/>
      <c r="F21" s="63"/>
      <c r="G21" s="63"/>
      <c r="H21" s="59"/>
      <c r="I21" s="59"/>
      <c r="J21" s="59"/>
      <c r="K21" s="59"/>
      <c r="L21" s="59"/>
    </row>
    <row r="22" spans="2:12" x14ac:dyDescent="0.3">
      <c r="B22" s="35"/>
      <c r="C22" s="63"/>
      <c r="D22" s="63"/>
      <c r="E22" s="63"/>
      <c r="F22" s="63"/>
      <c r="G22" s="63"/>
      <c r="H22" s="59"/>
      <c r="I22" s="59"/>
      <c r="J22" s="59"/>
      <c r="K22" s="59"/>
      <c r="L22" s="59"/>
    </row>
    <row r="23" spans="2:12" x14ac:dyDescent="0.3">
      <c r="B23" s="37" t="s">
        <v>102</v>
      </c>
      <c r="C23" s="65">
        <f>C14-C20</f>
        <v>-86.584000000000003</v>
      </c>
      <c r="D23" s="65">
        <f t="shared" ref="D23:L23" si="29">D14-D20</f>
        <v>-92.086999999999989</v>
      </c>
      <c r="E23" s="65">
        <f t="shared" si="29"/>
        <v>-98.079000000000008</v>
      </c>
      <c r="F23" s="65">
        <f t="shared" si="29"/>
        <v>-75.481999999999999</v>
      </c>
      <c r="G23" s="65">
        <f t="shared" si="29"/>
        <v>-69.981999999999999</v>
      </c>
      <c r="H23" s="65">
        <f t="shared" si="29"/>
        <v>-100.16922812827019</v>
      </c>
      <c r="I23" s="65">
        <f t="shared" si="29"/>
        <v>-109.46900545957153</v>
      </c>
      <c r="J23" s="65">
        <f t="shared" si="29"/>
        <v>-119.63218026360815</v>
      </c>
      <c r="K23" s="65">
        <f t="shared" si="29"/>
        <v>-130.73891093228212</v>
      </c>
      <c r="L23" s="65">
        <f t="shared" si="29"/>
        <v>-142.87679781556864</v>
      </c>
    </row>
    <row r="24" spans="2:12" x14ac:dyDescent="0.3">
      <c r="B24" s="61" t="s">
        <v>103</v>
      </c>
      <c r="C24" s="62">
        <f>C23-D23</f>
        <v>5.5029999999999859</v>
      </c>
      <c r="D24" s="62">
        <f>D23-E23</f>
        <v>5.9920000000000186</v>
      </c>
      <c r="E24" s="62">
        <f t="shared" ref="E24:G24" si="30">E23-F23</f>
        <v>-22.597000000000008</v>
      </c>
      <c r="F24" s="62">
        <f t="shared" si="30"/>
        <v>-5.5</v>
      </c>
      <c r="G24" s="62">
        <f t="shared" si="30"/>
        <v>30.187228128270192</v>
      </c>
      <c r="H24" s="62">
        <f>H23-G23</f>
        <v>-30.187228128270192</v>
      </c>
      <c r="I24" s="62">
        <f>I23-H23</f>
        <v>-9.2997773313013425</v>
      </c>
      <c r="J24" s="62">
        <f>J23-I23</f>
        <v>-10.163174804036615</v>
      </c>
      <c r="K24" s="62">
        <f>K23-J23</f>
        <v>-11.106730668673976</v>
      </c>
      <c r="L24" s="62">
        <f>L23-K23</f>
        <v>-12.137886883286512</v>
      </c>
    </row>
  </sheetData>
  <mergeCells count="1">
    <mergeCell ref="B1:C1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EB9C8-1DB6-44BF-94B5-392529425C47}">
  <dimension ref="A2:G26"/>
  <sheetViews>
    <sheetView workbookViewId="0">
      <selection activeCell="A26" sqref="A26:B26"/>
    </sheetView>
  </sheetViews>
  <sheetFormatPr defaultRowHeight="14.4" x14ac:dyDescent="0.3"/>
  <cols>
    <col min="1" max="1" width="19.6640625" customWidth="1"/>
  </cols>
  <sheetData>
    <row r="2" spans="1:3" x14ac:dyDescent="0.3">
      <c r="A2" s="136" t="s">
        <v>104</v>
      </c>
      <c r="B2" s="136"/>
    </row>
    <row r="3" spans="1:3" x14ac:dyDescent="0.3">
      <c r="A3" t="s">
        <v>105</v>
      </c>
      <c r="B3" s="48">
        <v>3.73E-2</v>
      </c>
      <c r="C3" t="s">
        <v>106</v>
      </c>
    </row>
    <row r="4" spans="1:3" x14ac:dyDescent="0.3">
      <c r="A4" t="s">
        <v>107</v>
      </c>
      <c r="B4">
        <v>1.0900000000000001</v>
      </c>
    </row>
    <row r="5" spans="1:3" x14ac:dyDescent="0.3">
      <c r="A5" t="s">
        <v>108</v>
      </c>
      <c r="B5" s="48">
        <v>4.3299999999999998E-2</v>
      </c>
      <c r="C5" t="s">
        <v>109</v>
      </c>
    </row>
    <row r="6" spans="1:3" x14ac:dyDescent="0.3">
      <c r="A6" t="s">
        <v>104</v>
      </c>
      <c r="B6" s="48">
        <f>B3+B4*B5</f>
        <v>8.4497000000000003E-2</v>
      </c>
    </row>
    <row r="8" spans="1:3" x14ac:dyDescent="0.3">
      <c r="A8" s="136" t="s">
        <v>110</v>
      </c>
      <c r="B8" s="136"/>
    </row>
    <row r="9" spans="1:3" x14ac:dyDescent="0.3">
      <c r="A9" t="s">
        <v>110</v>
      </c>
      <c r="B9" s="48">
        <v>4.7300000000000002E-2</v>
      </c>
    </row>
    <row r="10" spans="1:3" x14ac:dyDescent="0.3">
      <c r="A10" t="s">
        <v>111</v>
      </c>
      <c r="B10" s="70">
        <f>dcf!B7</f>
        <v>0.19351333527922171</v>
      </c>
    </row>
    <row r="11" spans="1:3" x14ac:dyDescent="0.3">
      <c r="A11" t="s">
        <v>112</v>
      </c>
      <c r="B11" s="48">
        <f>(1-B10)*B9</f>
        <v>3.8146819241292811E-2</v>
      </c>
    </row>
    <row r="13" spans="1:3" x14ac:dyDescent="0.3">
      <c r="A13" s="136" t="s">
        <v>113</v>
      </c>
      <c r="B13" s="136"/>
    </row>
    <row r="14" spans="1:3" x14ac:dyDescent="0.3">
      <c r="A14" t="s">
        <v>7</v>
      </c>
      <c r="B14" s="26">
        <f>dcf!B4</f>
        <v>15.408094999999999</v>
      </c>
    </row>
    <row r="15" spans="1:3" x14ac:dyDescent="0.3">
      <c r="A15" t="s">
        <v>25</v>
      </c>
      <c r="B15" t="str">
        <f>dcf!B3</f>
        <v>$198.51</v>
      </c>
    </row>
    <row r="16" spans="1:3" x14ac:dyDescent="0.3">
      <c r="A16" t="s">
        <v>114</v>
      </c>
      <c r="B16">
        <f>B14*B15</f>
        <v>3058.6609384499998</v>
      </c>
    </row>
    <row r="17" spans="1:7" x14ac:dyDescent="0.3">
      <c r="A17" t="s">
        <v>115</v>
      </c>
      <c r="B17" s="26">
        <f>dcf!B6</f>
        <v>119.059</v>
      </c>
    </row>
    <row r="18" spans="1:7" x14ac:dyDescent="0.3">
      <c r="A18" t="s">
        <v>116</v>
      </c>
      <c r="B18" s="48">
        <f>B16/(B16+B17)</f>
        <v>0.96253319917863067</v>
      </c>
    </row>
    <row r="19" spans="1:7" x14ac:dyDescent="0.3">
      <c r="A19" t="s">
        <v>117</v>
      </c>
      <c r="B19" s="48">
        <f>(1-B18)</f>
        <v>3.7466800821369328E-2</v>
      </c>
    </row>
    <row r="21" spans="1:7" x14ac:dyDescent="0.3">
      <c r="A21" s="136" t="s">
        <v>23</v>
      </c>
      <c r="B21" s="136"/>
    </row>
    <row r="22" spans="1:7" x14ac:dyDescent="0.3">
      <c r="A22" s="138">
        <f>(B6*B18)+(B19*B11)</f>
        <v>8.2760407009479051E-2</v>
      </c>
      <c r="B22" s="138"/>
    </row>
    <row r="23" spans="1:7" x14ac:dyDescent="0.3">
      <c r="A23" s="136" t="s">
        <v>118</v>
      </c>
      <c r="B23" s="136"/>
      <c r="F23" s="129"/>
      <c r="G23" s="129"/>
    </row>
    <row r="24" spans="1:7" x14ac:dyDescent="0.3">
      <c r="A24" s="138">
        <v>0.1</v>
      </c>
      <c r="B24" s="138"/>
    </row>
    <row r="25" spans="1:7" x14ac:dyDescent="0.3">
      <c r="A25" s="136" t="s">
        <v>119</v>
      </c>
      <c r="B25" s="136"/>
    </row>
    <row r="26" spans="1:7" x14ac:dyDescent="0.3">
      <c r="A26" s="138">
        <f>(A24*B18)+(B19*B11)</f>
        <v>9.7682559196345359E-2</v>
      </c>
      <c r="B26" s="138"/>
    </row>
  </sheetData>
  <mergeCells count="10">
    <mergeCell ref="F23:G23"/>
    <mergeCell ref="A22:B22"/>
    <mergeCell ref="A26:B26"/>
    <mergeCell ref="A24:B24"/>
    <mergeCell ref="A2:B2"/>
    <mergeCell ref="A8:B8"/>
    <mergeCell ref="A13:B13"/>
    <mergeCell ref="A21:B21"/>
    <mergeCell ref="A23:B23"/>
    <mergeCell ref="A25:B2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A2B47-3DBE-481A-93C0-995BABC6747C}">
  <dimension ref="A1:L56"/>
  <sheetViews>
    <sheetView topLeftCell="A13" workbookViewId="0">
      <selection activeCell="L33" sqref="L33"/>
    </sheetView>
  </sheetViews>
  <sheetFormatPr defaultColWidth="9.109375" defaultRowHeight="14.4" outlineLevelRow="3" x14ac:dyDescent="0.3"/>
  <cols>
    <col min="1" max="1" width="53.109375" customWidth="1"/>
    <col min="2" max="11" width="9.44140625" customWidth="1"/>
    <col min="12" max="12" width="15.5546875" bestFit="1" customWidth="1"/>
  </cols>
  <sheetData>
    <row r="1" spans="1:12" ht="15" customHeight="1" x14ac:dyDescent="0.3">
      <c r="A1" s="1" t="s">
        <v>48</v>
      </c>
    </row>
    <row r="2" spans="1:12" ht="15" customHeight="1" x14ac:dyDescent="0.3">
      <c r="A2" s="2" t="s">
        <v>49</v>
      </c>
    </row>
    <row r="3" spans="1:12" ht="15" customHeigh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2" ht="15" customHeight="1" x14ac:dyDescent="0.3"/>
    <row r="5" spans="1:12" ht="15" customHeight="1" x14ac:dyDescent="0.3">
      <c r="A5" s="4" t="s">
        <v>120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" customHeight="1" x14ac:dyDescent="0.3">
      <c r="A6" s="4" t="s">
        <v>121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ht="15" customHeight="1" x14ac:dyDescent="0.3">
      <c r="A7" s="4" t="s">
        <v>122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2" ht="15" customHeight="1" x14ac:dyDescent="0.3">
      <c r="A8" s="4"/>
      <c r="B8" s="4" t="s">
        <v>123</v>
      </c>
      <c r="C8" s="4" t="s">
        <v>124</v>
      </c>
      <c r="D8" s="4" t="s">
        <v>125</v>
      </c>
      <c r="E8" s="4" t="s">
        <v>126</v>
      </c>
      <c r="F8" s="4" t="s">
        <v>127</v>
      </c>
      <c r="G8" s="4" t="s">
        <v>128</v>
      </c>
      <c r="H8" s="4" t="s">
        <v>129</v>
      </c>
      <c r="I8" s="4" t="s">
        <v>130</v>
      </c>
      <c r="J8" s="4" t="s">
        <v>131</v>
      </c>
      <c r="K8" s="4" t="s">
        <v>132</v>
      </c>
    </row>
    <row r="9" spans="1:12" ht="15" customHeight="1" x14ac:dyDescent="0.3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t="s">
        <v>133</v>
      </c>
    </row>
    <row r="10" spans="1:12" ht="15" customHeight="1" x14ac:dyDescent="0.3">
      <c r="A10" s="20" t="s">
        <v>134</v>
      </c>
      <c r="B10" s="7">
        <v>391.03500000000003</v>
      </c>
      <c r="C10" s="7">
        <v>383.28500000000003</v>
      </c>
      <c r="D10" s="7">
        <v>394.32799999999997</v>
      </c>
      <c r="E10" s="7">
        <v>365.81700000000001</v>
      </c>
      <c r="F10" s="7">
        <v>274.14999999999998</v>
      </c>
      <c r="G10" s="7">
        <v>259.96800000000002</v>
      </c>
      <c r="H10" s="7">
        <v>265.80900000000003</v>
      </c>
      <c r="I10" s="7">
        <v>228.572</v>
      </c>
      <c r="J10" s="7">
        <v>214.226</v>
      </c>
      <c r="K10" s="7">
        <v>231.28299999999999</v>
      </c>
      <c r="L10" s="48">
        <f>(B10/F10)^(1/4)-1</f>
        <v>9.2840660800467267E-2</v>
      </c>
    </row>
    <row r="11" spans="1:12" ht="15" customHeight="1" outlineLevel="1" x14ac:dyDescent="0.3">
      <c r="A11" s="12" t="s">
        <v>135</v>
      </c>
      <c r="B11" s="13">
        <v>210.352</v>
      </c>
      <c r="C11" s="13">
        <v>214.137</v>
      </c>
      <c r="D11" s="13">
        <v>223.54599999999999</v>
      </c>
      <c r="E11" s="13">
        <v>212.98099999999999</v>
      </c>
      <c r="F11" s="13">
        <v>170.143</v>
      </c>
      <c r="G11" s="13">
        <v>162.26400000000001</v>
      </c>
      <c r="H11" s="13">
        <v>163.82599999999999</v>
      </c>
      <c r="I11" s="13">
        <v>141.702</v>
      </c>
      <c r="J11" s="13">
        <v>131.506</v>
      </c>
      <c r="K11" s="13">
        <v>142.25700000000001</v>
      </c>
    </row>
    <row r="12" spans="1:12" ht="15" customHeight="1" outlineLevel="2" x14ac:dyDescent="0.3">
      <c r="A12" s="10" t="s">
        <v>136</v>
      </c>
      <c r="B12" s="11">
        <v>198.90700000000001</v>
      </c>
      <c r="C12" s="11">
        <v>202.61799999999999</v>
      </c>
      <c r="D12" s="11">
        <v>212.44200000000001</v>
      </c>
      <c r="E12" s="11">
        <v>201.697</v>
      </c>
      <c r="F12" s="11">
        <v>159.08699999999999</v>
      </c>
      <c r="G12" s="11">
        <v>149.71700000000001</v>
      </c>
      <c r="H12" s="11">
        <v>152.923</v>
      </c>
      <c r="I12" s="11">
        <v>132.30199999999999</v>
      </c>
      <c r="J12" s="11">
        <v>121.706</v>
      </c>
      <c r="K12" s="11">
        <v>131.75700000000001</v>
      </c>
    </row>
    <row r="13" spans="1:12" ht="15" customHeight="1" outlineLevel="2" x14ac:dyDescent="0.3">
      <c r="A13" s="23" t="s">
        <v>137</v>
      </c>
      <c r="B13" s="13">
        <v>11.445</v>
      </c>
      <c r="C13" s="13">
        <v>11.519</v>
      </c>
      <c r="D13" s="13">
        <v>11.103999999999999</v>
      </c>
      <c r="E13" s="13">
        <v>11.284000000000001</v>
      </c>
      <c r="F13" s="13">
        <v>11.055999999999999</v>
      </c>
      <c r="G13" s="13">
        <v>12.547000000000001</v>
      </c>
      <c r="H13" s="13">
        <v>10.903</v>
      </c>
      <c r="I13" s="13">
        <v>9.4</v>
      </c>
      <c r="J13" s="13">
        <v>9.8000000000000007</v>
      </c>
      <c r="K13" s="13">
        <v>10.5</v>
      </c>
    </row>
    <row r="14" spans="1:12" ht="15" customHeight="1" outlineLevel="3" x14ac:dyDescent="0.3">
      <c r="A14" s="16" t="s">
        <v>138</v>
      </c>
      <c r="B14" s="11">
        <v>8.1999999999999993</v>
      </c>
      <c r="C14" s="11">
        <v>8.5</v>
      </c>
      <c r="D14" s="11">
        <v>8.6999999999999993</v>
      </c>
      <c r="E14" s="11">
        <v>9.5</v>
      </c>
      <c r="F14" s="11">
        <v>9.6999999999999993</v>
      </c>
      <c r="G14" s="11">
        <v>11.3</v>
      </c>
      <c r="H14" s="11">
        <v>9.3000000000000007</v>
      </c>
      <c r="I14" s="11">
        <v>8.1999999999999993</v>
      </c>
      <c r="J14" s="11">
        <v>8.3000000000000007</v>
      </c>
      <c r="K14" s="11">
        <v>9.1999999999999993</v>
      </c>
    </row>
    <row r="15" spans="1:12" ht="15" customHeight="1" outlineLevel="3" x14ac:dyDescent="0.3">
      <c r="A15" s="15" t="s">
        <v>139</v>
      </c>
      <c r="B15" s="9">
        <v>3.2450000000000001</v>
      </c>
      <c r="C15" s="9">
        <v>3.0190000000000001</v>
      </c>
      <c r="D15" s="9">
        <v>2.4039999999999999</v>
      </c>
      <c r="E15" s="9">
        <v>1.784</v>
      </c>
      <c r="F15" s="9">
        <v>1.3560000000000001</v>
      </c>
      <c r="G15" s="9">
        <v>1.2470000000000001</v>
      </c>
      <c r="H15" s="9">
        <v>1.603</v>
      </c>
      <c r="I15" s="9">
        <v>1.2</v>
      </c>
      <c r="J15" s="9">
        <v>1.5</v>
      </c>
      <c r="K15" s="9">
        <v>1.3</v>
      </c>
    </row>
    <row r="16" spans="1:12" ht="15" customHeight="1" x14ac:dyDescent="0.3">
      <c r="A16" s="20" t="s">
        <v>140</v>
      </c>
      <c r="B16" s="7">
        <v>180.68299999999999</v>
      </c>
      <c r="C16" s="7">
        <v>169.148</v>
      </c>
      <c r="D16" s="7">
        <v>170.78200000000001</v>
      </c>
      <c r="E16" s="7">
        <v>152.83600000000001</v>
      </c>
      <c r="F16" s="7">
        <v>104.00700000000001</v>
      </c>
      <c r="G16" s="7">
        <v>97.703999999999994</v>
      </c>
      <c r="H16" s="7">
        <v>101.983</v>
      </c>
      <c r="I16" s="7">
        <v>86.87</v>
      </c>
      <c r="J16" s="7">
        <v>82.72</v>
      </c>
      <c r="K16" s="7">
        <v>89.025999999999996</v>
      </c>
    </row>
    <row r="17" spans="1:12" ht="15" customHeight="1" outlineLevel="1" x14ac:dyDescent="0.3">
      <c r="A17" s="12" t="s">
        <v>141</v>
      </c>
      <c r="B17" s="13">
        <v>57.466999999999999</v>
      </c>
      <c r="C17" s="13">
        <v>54.847000000000001</v>
      </c>
      <c r="D17" s="13">
        <v>51.344999999999999</v>
      </c>
      <c r="E17" s="13">
        <v>43.887</v>
      </c>
      <c r="F17" s="13">
        <v>38.667999999999999</v>
      </c>
      <c r="G17" s="13">
        <v>34.462000000000003</v>
      </c>
      <c r="H17" s="13">
        <v>30.940999999999999</v>
      </c>
      <c r="I17" s="13">
        <v>26.841999999999999</v>
      </c>
      <c r="J17" s="13">
        <v>24.239000000000001</v>
      </c>
      <c r="K17" s="13">
        <v>22.396000000000001</v>
      </c>
    </row>
    <row r="18" spans="1:12" ht="15" customHeight="1" outlineLevel="2" x14ac:dyDescent="0.3">
      <c r="A18" s="10" t="s">
        <v>142</v>
      </c>
      <c r="B18" s="11">
        <v>31.37</v>
      </c>
      <c r="C18" s="11">
        <v>29.914999999999999</v>
      </c>
      <c r="D18" s="11">
        <v>26.251000000000001</v>
      </c>
      <c r="E18" s="11">
        <v>21.914000000000001</v>
      </c>
      <c r="F18" s="11">
        <v>18.751999999999999</v>
      </c>
      <c r="G18" s="11">
        <v>16.216999999999999</v>
      </c>
      <c r="H18" s="11">
        <v>14.236000000000001</v>
      </c>
      <c r="I18" s="11">
        <v>11.581</v>
      </c>
      <c r="J18" s="11">
        <v>10.045</v>
      </c>
      <c r="K18" s="11">
        <v>8.0670000000000002</v>
      </c>
    </row>
    <row r="19" spans="1:12" ht="15" customHeight="1" outlineLevel="2" x14ac:dyDescent="0.3">
      <c r="A19" s="8" t="s">
        <v>143</v>
      </c>
      <c r="B19" s="9">
        <v>26.097000000000001</v>
      </c>
      <c r="C19" s="9">
        <v>24.931999999999999</v>
      </c>
      <c r="D19" s="9">
        <v>25.094000000000001</v>
      </c>
      <c r="E19" s="9">
        <v>21.972999999999999</v>
      </c>
      <c r="F19" s="9">
        <v>19.916</v>
      </c>
      <c r="G19" s="9">
        <v>18.245000000000001</v>
      </c>
      <c r="H19" s="9">
        <v>16.704999999999998</v>
      </c>
      <c r="I19" s="9">
        <v>15.260999999999999</v>
      </c>
      <c r="J19" s="9">
        <v>14.194000000000001</v>
      </c>
      <c r="K19" s="9">
        <v>14.329000000000001</v>
      </c>
    </row>
    <row r="20" spans="1:12" ht="15" customHeight="1" x14ac:dyDescent="0.3">
      <c r="A20" s="20" t="s">
        <v>144</v>
      </c>
      <c r="B20" s="7">
        <v>123.21599999999999</v>
      </c>
      <c r="C20" s="7">
        <v>114.301</v>
      </c>
      <c r="D20" s="7">
        <v>119.437</v>
      </c>
      <c r="E20" s="7">
        <v>108.949</v>
      </c>
      <c r="F20" s="7">
        <v>65.338999999999999</v>
      </c>
      <c r="G20" s="7">
        <v>63.241999999999997</v>
      </c>
      <c r="H20" s="7">
        <v>71.042000000000002</v>
      </c>
      <c r="I20" s="7">
        <v>60.027999999999999</v>
      </c>
      <c r="J20" s="7">
        <v>58.481000000000002</v>
      </c>
      <c r="K20" s="7">
        <v>66.63</v>
      </c>
      <c r="L20" s="20" t="s">
        <v>145</v>
      </c>
    </row>
    <row r="21" spans="1:12" ht="15" customHeight="1" x14ac:dyDescent="0.3">
      <c r="A21" s="20" t="s">
        <v>146</v>
      </c>
      <c r="B21" s="7">
        <f>B20/B10</f>
        <v>0.31510222870075566</v>
      </c>
      <c r="C21" s="7">
        <f t="shared" ref="C21:K21" si="0">C20/C10</f>
        <v>0.29821412265024722</v>
      </c>
      <c r="D21" s="7">
        <f t="shared" si="0"/>
        <v>0.302887443955286</v>
      </c>
      <c r="E21" s="7">
        <f t="shared" si="0"/>
        <v>0.29782377527561593</v>
      </c>
      <c r="F21" s="7">
        <f t="shared" si="0"/>
        <v>0.23833302936348716</v>
      </c>
      <c r="G21" s="7">
        <f t="shared" si="0"/>
        <v>0.2432684022648941</v>
      </c>
      <c r="H21" s="7">
        <f t="shared" si="0"/>
        <v>0.26726709780330987</v>
      </c>
      <c r="I21" s="7">
        <f t="shared" si="0"/>
        <v>0.26262184344539136</v>
      </c>
      <c r="J21" s="7">
        <f t="shared" si="0"/>
        <v>0.27298740582375625</v>
      </c>
      <c r="K21" s="7">
        <f t="shared" si="0"/>
        <v>0.28808861870522262</v>
      </c>
      <c r="L21" s="26">
        <f>AVERAGE(B21:K21)</f>
        <v>0.27865939679879664</v>
      </c>
    </row>
    <row r="22" spans="1:12" ht="15" customHeight="1" outlineLevel="1" x14ac:dyDescent="0.3">
      <c r="A22" s="12" t="s">
        <v>147</v>
      </c>
      <c r="B22" s="13">
        <v>0.26900000000000002</v>
      </c>
      <c r="C22" s="13">
        <v>3.3679999999999999</v>
      </c>
      <c r="D22" s="13">
        <v>2.597</v>
      </c>
      <c r="E22" s="13">
        <v>2.903</v>
      </c>
      <c r="F22" s="13">
        <v>4.16</v>
      </c>
      <c r="G22" s="13">
        <v>6.0709999999999997</v>
      </c>
      <c r="H22" s="13">
        <v>5.101</v>
      </c>
      <c r="I22" s="13">
        <v>6.3840000000000003</v>
      </c>
      <c r="J22" s="13">
        <v>3.7989999999999999</v>
      </c>
      <c r="K22" s="13">
        <v>6.6180000000000003</v>
      </c>
    </row>
    <row r="23" spans="1:12" ht="15" customHeight="1" outlineLevel="2" x14ac:dyDescent="0.3">
      <c r="A23" s="10" t="s">
        <v>148</v>
      </c>
      <c r="B23" s="11">
        <v>0</v>
      </c>
      <c r="C23" s="11">
        <v>3.75</v>
      </c>
      <c r="D23" s="11">
        <v>2.8250000000000002</v>
      </c>
      <c r="E23" s="11">
        <v>2.843</v>
      </c>
      <c r="F23" s="11">
        <v>3.7629999999999999</v>
      </c>
      <c r="G23" s="11">
        <v>4.9610000000000003</v>
      </c>
      <c r="H23" s="11">
        <v>5.6859999999999999</v>
      </c>
      <c r="I23" s="11">
        <v>5.2009999999999996</v>
      </c>
      <c r="J23" s="11">
        <v>3.9990000000000001</v>
      </c>
      <c r="K23" s="11">
        <v>2.9209999999999998</v>
      </c>
    </row>
    <row r="24" spans="1:12" ht="15" customHeight="1" outlineLevel="2" x14ac:dyDescent="0.3">
      <c r="A24" s="8" t="s">
        <v>149</v>
      </c>
      <c r="B24" s="9">
        <v>0.26900000000000002</v>
      </c>
      <c r="C24" s="24">
        <v>-0.38200000000000001</v>
      </c>
      <c r="D24" s="24">
        <v>-0.22800000000000001</v>
      </c>
      <c r="E24" s="9">
        <v>0.06</v>
      </c>
      <c r="F24" s="9">
        <v>0.39700000000000002</v>
      </c>
      <c r="G24" s="9">
        <v>1.1100000000000001</v>
      </c>
      <c r="H24" s="24">
        <v>-0.58499999999999996</v>
      </c>
      <c r="I24" s="9">
        <v>1.1830000000000001</v>
      </c>
      <c r="J24" s="24">
        <v>-0.2</v>
      </c>
      <c r="K24" s="9">
        <v>3.6970000000000001</v>
      </c>
    </row>
    <row r="25" spans="1:12" ht="15" customHeight="1" outlineLevel="1" x14ac:dyDescent="0.3">
      <c r="A25" s="6" t="s">
        <v>150</v>
      </c>
      <c r="B25" s="20"/>
      <c r="C25" s="7">
        <v>3.9329999999999998</v>
      </c>
      <c r="D25" s="7">
        <v>2.931</v>
      </c>
      <c r="E25" s="7">
        <v>2.645</v>
      </c>
      <c r="F25" s="7">
        <v>2.8730000000000002</v>
      </c>
      <c r="G25" s="7">
        <v>3.5760000000000001</v>
      </c>
      <c r="H25" s="7">
        <v>3.24</v>
      </c>
      <c r="I25" s="7">
        <v>2.323</v>
      </c>
      <c r="J25" s="7">
        <v>1.456</v>
      </c>
      <c r="K25" s="7">
        <v>0.73299999999999998</v>
      </c>
    </row>
    <row r="26" spans="1:12" ht="15" customHeight="1" outlineLevel="2" x14ac:dyDescent="0.3">
      <c r="A26" s="8" t="s">
        <v>151</v>
      </c>
      <c r="B26" s="22"/>
      <c r="C26" s="9">
        <v>3.9329999999999998</v>
      </c>
      <c r="D26" s="9">
        <v>2.931</v>
      </c>
      <c r="E26" s="9">
        <v>2.645</v>
      </c>
      <c r="F26" s="9">
        <v>2.8730000000000002</v>
      </c>
      <c r="G26" s="9">
        <v>3.5760000000000001</v>
      </c>
      <c r="H26" s="9">
        <v>3.24</v>
      </c>
      <c r="I26" s="9">
        <v>2.323</v>
      </c>
      <c r="J26" s="9">
        <v>1.456</v>
      </c>
      <c r="K26" s="9">
        <v>0.73299999999999998</v>
      </c>
    </row>
    <row r="27" spans="1:12" ht="15" customHeight="1" outlineLevel="1" x14ac:dyDescent="0.3">
      <c r="A27" s="6" t="s">
        <v>152</v>
      </c>
      <c r="B27" s="7">
        <v>0</v>
      </c>
      <c r="C27" s="7">
        <v>0</v>
      </c>
      <c r="D27" s="7">
        <v>0</v>
      </c>
      <c r="E27" s="7">
        <v>0</v>
      </c>
      <c r="F27" s="7">
        <v>-0.46500000000000002</v>
      </c>
      <c r="G27" s="20"/>
      <c r="H27" s="20"/>
      <c r="I27" s="20"/>
      <c r="J27" s="7">
        <v>-0.54800000000000004</v>
      </c>
      <c r="K27" s="20"/>
    </row>
    <row r="28" spans="1:12" ht="15" customHeight="1" outlineLevel="2" x14ac:dyDescent="0.3">
      <c r="A28" s="8" t="s">
        <v>153</v>
      </c>
      <c r="B28" s="22"/>
      <c r="C28" s="22"/>
      <c r="D28" s="22"/>
      <c r="E28" s="22"/>
      <c r="F28" s="22"/>
      <c r="G28" s="22"/>
      <c r="H28" s="22"/>
      <c r="I28" s="22"/>
      <c r="J28" s="24">
        <v>-0.54800000000000004</v>
      </c>
      <c r="K28" s="22"/>
    </row>
    <row r="29" spans="1:12" ht="15" customHeight="1" outlineLevel="2" x14ac:dyDescent="0.3">
      <c r="A29" s="14" t="s">
        <v>154</v>
      </c>
      <c r="B29" s="20"/>
      <c r="C29" s="20"/>
      <c r="D29" s="20"/>
      <c r="E29" s="20"/>
      <c r="F29" s="7">
        <v>0.46500000000000002</v>
      </c>
      <c r="G29" s="20"/>
      <c r="H29" s="20"/>
      <c r="I29" s="20"/>
      <c r="J29" s="20"/>
      <c r="K29" s="20"/>
    </row>
    <row r="30" spans="1:12" ht="15" customHeight="1" outlineLevel="3" x14ac:dyDescent="0.3">
      <c r="A30" s="15" t="s">
        <v>155</v>
      </c>
      <c r="B30" s="22"/>
      <c r="C30" s="22"/>
      <c r="D30" s="22"/>
      <c r="E30" s="22"/>
      <c r="F30" s="9">
        <v>0.46500000000000002</v>
      </c>
      <c r="G30" s="22"/>
      <c r="H30" s="22"/>
      <c r="I30" s="22"/>
      <c r="J30" s="22"/>
      <c r="K30" s="22"/>
    </row>
    <row r="31" spans="1:12" ht="15" customHeight="1" x14ac:dyDescent="0.3">
      <c r="A31" s="20" t="s">
        <v>156</v>
      </c>
      <c r="B31" s="7">
        <v>123.485</v>
      </c>
      <c r="C31" s="7">
        <v>113.736</v>
      </c>
      <c r="D31" s="7">
        <v>119.10299999999999</v>
      </c>
      <c r="E31" s="7">
        <v>109.20699999999999</v>
      </c>
      <c r="F31" s="7">
        <v>67.090999999999994</v>
      </c>
      <c r="G31" s="7">
        <v>65.736999999999995</v>
      </c>
      <c r="H31" s="7">
        <v>72.903000000000006</v>
      </c>
      <c r="I31" s="7">
        <v>64.088999999999999</v>
      </c>
      <c r="J31" s="7">
        <v>61.372</v>
      </c>
      <c r="K31" s="7">
        <v>72.515000000000001</v>
      </c>
    </row>
    <row r="32" spans="1:12" ht="15" customHeight="1" outlineLevel="1" x14ac:dyDescent="0.3">
      <c r="A32" s="12" t="s">
        <v>157</v>
      </c>
      <c r="B32" s="13">
        <v>29.748999999999999</v>
      </c>
      <c r="C32" s="13">
        <v>16.741</v>
      </c>
      <c r="D32" s="13">
        <v>19.3</v>
      </c>
      <c r="E32" s="13">
        <v>14.526999999999999</v>
      </c>
      <c r="F32" s="13">
        <v>9.68</v>
      </c>
      <c r="G32" s="13">
        <v>10.481</v>
      </c>
      <c r="H32" s="13">
        <v>13.372</v>
      </c>
      <c r="I32" s="13">
        <v>15.738</v>
      </c>
      <c r="J32" s="13">
        <v>15.685</v>
      </c>
      <c r="K32" s="13">
        <v>19.120999999999999</v>
      </c>
      <c r="L32" s="20" t="s">
        <v>15</v>
      </c>
    </row>
    <row r="33" spans="1:12" ht="15" customHeight="1" outlineLevel="1" x14ac:dyDescent="0.3">
      <c r="A33" s="12" t="s">
        <v>15</v>
      </c>
      <c r="B33" s="13">
        <f>B32/B31</f>
        <v>0.24091185164189982</v>
      </c>
      <c r="C33" s="13">
        <f t="shared" ref="C33:K33" si="1">C32/C31</f>
        <v>0.14719174228036858</v>
      </c>
      <c r="D33" s="13">
        <f t="shared" si="1"/>
        <v>0.16204461684424407</v>
      </c>
      <c r="E33" s="13">
        <f t="shared" si="1"/>
        <v>0.13302260844085087</v>
      </c>
      <c r="F33" s="13">
        <f t="shared" si="1"/>
        <v>0.14428164731484105</v>
      </c>
      <c r="G33" s="13">
        <f t="shared" si="1"/>
        <v>0.15943836804235059</v>
      </c>
      <c r="H33" s="13">
        <f t="shared" si="1"/>
        <v>0.1834218070586944</v>
      </c>
      <c r="I33" s="13">
        <f t="shared" si="1"/>
        <v>0.24556476150353415</v>
      </c>
      <c r="J33" s="13">
        <f t="shared" si="1"/>
        <v>0.25557257381216192</v>
      </c>
      <c r="K33" s="13">
        <f t="shared" si="1"/>
        <v>0.26368337585327173</v>
      </c>
      <c r="L33" s="47">
        <f>AVERAGE(B33:K33)</f>
        <v>0.19351333527922171</v>
      </c>
    </row>
    <row r="34" spans="1:12" ht="15" customHeight="1" outlineLevel="2" x14ac:dyDescent="0.3">
      <c r="A34" s="10" t="s">
        <v>158</v>
      </c>
      <c r="B34" s="11">
        <v>7.2969999999999997</v>
      </c>
      <c r="C34" s="11">
        <v>11.015000000000001</v>
      </c>
      <c r="D34" s="11">
        <v>9.4090000000000007</v>
      </c>
      <c r="E34" s="11">
        <v>9.8770000000000007</v>
      </c>
      <c r="F34" s="11">
        <v>6.7610000000000001</v>
      </c>
      <c r="G34" s="11">
        <v>6.859</v>
      </c>
      <c r="H34" s="11">
        <v>41.975999999999999</v>
      </c>
      <c r="I34" s="11">
        <v>8.1010000000000009</v>
      </c>
      <c r="J34" s="11">
        <v>8.6419999999999995</v>
      </c>
      <c r="K34" s="11">
        <v>12.994999999999999</v>
      </c>
    </row>
    <row r="35" spans="1:12" ht="15" customHeight="1" outlineLevel="2" x14ac:dyDescent="0.3">
      <c r="A35" s="8" t="s">
        <v>159</v>
      </c>
      <c r="B35" s="9">
        <v>25.483000000000001</v>
      </c>
      <c r="C35" s="9">
        <v>8.75</v>
      </c>
      <c r="D35" s="9">
        <v>8.9960000000000004</v>
      </c>
      <c r="E35" s="9">
        <v>9.4239999999999995</v>
      </c>
      <c r="F35" s="9">
        <v>3.1339999999999999</v>
      </c>
      <c r="G35" s="9">
        <v>3.9620000000000002</v>
      </c>
      <c r="H35" s="9">
        <v>3.9860000000000002</v>
      </c>
      <c r="I35" s="9">
        <v>1.671</v>
      </c>
      <c r="J35" s="9">
        <v>2.105</v>
      </c>
      <c r="K35" s="9">
        <v>4.7439999999999998</v>
      </c>
    </row>
    <row r="36" spans="1:12" ht="15" customHeight="1" outlineLevel="2" x14ac:dyDescent="0.3">
      <c r="A36" s="10" t="s">
        <v>160</v>
      </c>
      <c r="B36" s="18">
        <v>-3.3780000000000001</v>
      </c>
      <c r="C36" s="18">
        <v>-3.6930000000000001</v>
      </c>
      <c r="D36" s="18">
        <v>-2.181</v>
      </c>
      <c r="E36" s="18">
        <v>-7.5140000000000002</v>
      </c>
      <c r="F36" s="18">
        <v>-3.5979999999999999</v>
      </c>
      <c r="G36" s="18">
        <v>-3.0059999999999998</v>
      </c>
      <c r="H36" s="18">
        <v>-33.771000000000001</v>
      </c>
      <c r="I36" s="11">
        <v>5.9820000000000002</v>
      </c>
      <c r="J36" s="11">
        <v>4.9050000000000002</v>
      </c>
      <c r="K36" s="11">
        <v>3.1880000000000002</v>
      </c>
    </row>
    <row r="37" spans="1:12" ht="15" customHeight="1" outlineLevel="2" x14ac:dyDescent="0.3">
      <c r="A37" s="8" t="s">
        <v>161</v>
      </c>
      <c r="B37" s="9">
        <v>0.34699999999999998</v>
      </c>
      <c r="C37" s="9">
        <v>0.66900000000000004</v>
      </c>
      <c r="D37" s="9">
        <v>3.0760000000000001</v>
      </c>
      <c r="E37" s="9">
        <v>2.74</v>
      </c>
      <c r="F37" s="9">
        <v>3.383</v>
      </c>
      <c r="G37" s="9">
        <v>2.6659999999999999</v>
      </c>
      <c r="H37" s="9">
        <v>1.181</v>
      </c>
      <c r="I37" s="24">
        <v>-1.6E-2</v>
      </c>
      <c r="J37" s="9">
        <v>3.3000000000000002E-2</v>
      </c>
      <c r="K37" s="24">
        <v>-1.806</v>
      </c>
    </row>
    <row r="38" spans="1:12" ht="15" customHeight="1" x14ac:dyDescent="0.3">
      <c r="A38" s="17" t="s">
        <v>162</v>
      </c>
      <c r="B38" s="11">
        <v>93.736000000000004</v>
      </c>
      <c r="C38" s="11">
        <v>96.995000000000005</v>
      </c>
      <c r="D38" s="11">
        <v>99.802999999999997</v>
      </c>
      <c r="E38" s="11">
        <v>94.68</v>
      </c>
      <c r="F38" s="11">
        <v>57.411000000000001</v>
      </c>
      <c r="G38" s="11">
        <v>55.256</v>
      </c>
      <c r="H38" s="11">
        <v>59.530999999999999</v>
      </c>
      <c r="I38" s="11">
        <v>48.350999999999999</v>
      </c>
      <c r="J38" s="11">
        <v>45.686999999999998</v>
      </c>
      <c r="K38" s="11">
        <v>53.393999999999998</v>
      </c>
    </row>
    <row r="39" spans="1:12" ht="15" customHeight="1" x14ac:dyDescent="0.3">
      <c r="A39" s="5" t="s">
        <v>163</v>
      </c>
      <c r="B39" s="13">
        <v>93.736000000000004</v>
      </c>
      <c r="C39" s="13">
        <v>96.995000000000005</v>
      </c>
      <c r="D39" s="13">
        <v>99.802999999999997</v>
      </c>
      <c r="E39" s="13">
        <v>94.68</v>
      </c>
      <c r="F39" s="13">
        <v>57.411000000000001</v>
      </c>
      <c r="G39" s="13">
        <v>55.256</v>
      </c>
      <c r="H39" s="13">
        <v>59.530999999999999</v>
      </c>
      <c r="I39" s="13">
        <v>48.350999999999999</v>
      </c>
      <c r="J39" s="13">
        <v>45.686999999999998</v>
      </c>
      <c r="K39" s="13">
        <v>53.393999999999998</v>
      </c>
    </row>
    <row r="40" spans="1:12" ht="15" customHeight="1" outlineLevel="1" x14ac:dyDescent="0.3">
      <c r="A40" s="19" t="s">
        <v>164</v>
      </c>
      <c r="B40" s="11">
        <v>93.736000000000004</v>
      </c>
      <c r="C40" s="11">
        <v>96.995000000000005</v>
      </c>
      <c r="D40" s="11">
        <v>99.802999999999997</v>
      </c>
      <c r="E40" s="11">
        <v>94.68</v>
      </c>
      <c r="F40" s="11">
        <v>57.411000000000001</v>
      </c>
      <c r="G40" s="11">
        <v>55.256</v>
      </c>
      <c r="H40" s="11">
        <v>59.530999999999999</v>
      </c>
      <c r="I40" s="11">
        <v>48.350999999999999</v>
      </c>
      <c r="J40" s="11">
        <v>45.686999999999998</v>
      </c>
      <c r="K40" s="11">
        <v>53.393999999999998</v>
      </c>
    </row>
    <row r="41" spans="1:12" ht="15" customHeight="1" x14ac:dyDescent="0.3">
      <c r="A41" s="5" t="s">
        <v>165</v>
      </c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2" ht="15" customHeight="1" outlineLevel="1" x14ac:dyDescent="0.3">
      <c r="A42" s="19" t="s">
        <v>166</v>
      </c>
      <c r="B42" s="11">
        <v>6.0835549999999996</v>
      </c>
      <c r="C42" s="11">
        <v>6.1340529999999998</v>
      </c>
      <c r="D42" s="11">
        <v>6.1132</v>
      </c>
      <c r="E42" s="11">
        <v>5.61402</v>
      </c>
      <c r="F42" s="11">
        <v>3.2567780000000002</v>
      </c>
      <c r="G42" s="11">
        <v>2.9714469999999999</v>
      </c>
      <c r="H42" s="11">
        <v>2.9764849999999998</v>
      </c>
      <c r="I42" s="11">
        <v>2.3016869999999998</v>
      </c>
      <c r="J42" s="11">
        <v>2.0591400000000002</v>
      </c>
      <c r="K42" s="11">
        <v>2.3042189999999998</v>
      </c>
    </row>
    <row r="43" spans="1:12" ht="15" customHeight="1" outlineLevel="1" x14ac:dyDescent="0.3">
      <c r="A43" s="12" t="s">
        <v>167</v>
      </c>
      <c r="B43" s="13">
        <v>6.109</v>
      </c>
      <c r="C43" s="13">
        <v>6.1607000000000003</v>
      </c>
      <c r="D43" s="13">
        <v>6.1546000000000003</v>
      </c>
      <c r="E43" s="13">
        <v>5.6689999999999996</v>
      </c>
      <c r="F43" s="13">
        <v>3.3086000000000002</v>
      </c>
      <c r="G43" s="13">
        <v>2.9914000000000001</v>
      </c>
      <c r="H43" s="13">
        <v>3.0024999999999999</v>
      </c>
      <c r="I43" s="13">
        <v>2.3174999999999999</v>
      </c>
      <c r="J43" s="13">
        <v>2.0874999999999999</v>
      </c>
      <c r="K43" s="13">
        <v>2.3199999999999998</v>
      </c>
    </row>
    <row r="44" spans="1:12" ht="15" customHeight="1" outlineLevel="2" x14ac:dyDescent="0.3">
      <c r="A44" s="10" t="s">
        <v>168</v>
      </c>
      <c r="B44" s="11">
        <v>15343.782999999999</v>
      </c>
      <c r="C44" s="11">
        <v>15744.231</v>
      </c>
      <c r="D44" s="11">
        <v>16215.963</v>
      </c>
      <c r="E44" s="11">
        <v>16701.272000000001</v>
      </c>
      <c r="F44" s="11">
        <v>17352.118999999999</v>
      </c>
      <c r="G44" s="11">
        <v>18471.335999999999</v>
      </c>
      <c r="H44" s="11">
        <v>19821.508000000002</v>
      </c>
      <c r="I44" s="11">
        <v>20868.968000000001</v>
      </c>
      <c r="J44" s="11">
        <v>21883.279999999999</v>
      </c>
      <c r="K44" s="11">
        <v>23013.684000000001</v>
      </c>
    </row>
    <row r="45" spans="1:12" ht="15" customHeight="1" outlineLevel="2" x14ac:dyDescent="0.3">
      <c r="A45" s="8" t="s">
        <v>169</v>
      </c>
      <c r="B45" s="9">
        <v>15116.786</v>
      </c>
      <c r="C45" s="9">
        <v>15550.061</v>
      </c>
      <c r="D45" s="9">
        <v>15943.424999999999</v>
      </c>
      <c r="E45" s="9">
        <v>16426.786</v>
      </c>
      <c r="F45" s="9">
        <v>16976.762999999999</v>
      </c>
      <c r="G45" s="9">
        <v>17772.944</v>
      </c>
      <c r="H45" s="9">
        <v>19019.944</v>
      </c>
      <c r="I45" s="9">
        <v>20504.804</v>
      </c>
      <c r="J45" s="9">
        <v>21344.664000000001</v>
      </c>
      <c r="K45" s="9">
        <v>22315.011999999999</v>
      </c>
    </row>
    <row r="46" spans="1:12" ht="15" customHeight="1" outlineLevel="1" x14ac:dyDescent="0.3">
      <c r="A46" s="6" t="s">
        <v>170</v>
      </c>
      <c r="B46" s="7">
        <v>6.0835999999999997</v>
      </c>
      <c r="C46" s="7">
        <v>6.1340000000000003</v>
      </c>
      <c r="D46" s="7">
        <v>6.1132</v>
      </c>
      <c r="E46" s="7">
        <v>5.6139999999999999</v>
      </c>
      <c r="F46" s="7">
        <v>3.2753999999999999</v>
      </c>
      <c r="G46" s="7">
        <v>2.9714</v>
      </c>
      <c r="H46" s="7">
        <v>2.9775</v>
      </c>
      <c r="I46" s="7">
        <v>2.3025000000000002</v>
      </c>
      <c r="J46" s="7">
        <v>2.0775000000000001</v>
      </c>
      <c r="K46" s="7">
        <v>2.3050000000000002</v>
      </c>
    </row>
    <row r="47" spans="1:12" ht="15" customHeight="1" outlineLevel="2" x14ac:dyDescent="0.3">
      <c r="A47" s="8" t="s">
        <v>171</v>
      </c>
      <c r="B47" s="9">
        <v>15408.094999999999</v>
      </c>
      <c r="C47" s="9">
        <v>15812.547</v>
      </c>
      <c r="D47" s="9">
        <v>16325.819</v>
      </c>
      <c r="E47" s="9">
        <v>16864.919000000002</v>
      </c>
      <c r="F47" s="9">
        <v>17528.214</v>
      </c>
      <c r="G47" s="9">
        <v>18595.651999999998</v>
      </c>
      <c r="H47" s="9">
        <v>20000.436000000002</v>
      </c>
      <c r="I47" s="9">
        <v>21006.768</v>
      </c>
      <c r="J47" s="9">
        <v>22001.124</v>
      </c>
      <c r="K47" s="9">
        <v>23172.276000000002</v>
      </c>
    </row>
    <row r="48" spans="1:12" ht="15" customHeight="1" outlineLevel="2" x14ac:dyDescent="0.3">
      <c r="A48" s="10" t="s">
        <v>169</v>
      </c>
      <c r="B48" s="11">
        <v>15116.786</v>
      </c>
      <c r="C48" s="11">
        <v>15550.061</v>
      </c>
      <c r="D48" s="11">
        <v>15943.424999999999</v>
      </c>
      <c r="E48" s="11">
        <v>16426.786</v>
      </c>
      <c r="F48" s="11">
        <v>16976.762999999999</v>
      </c>
      <c r="G48" s="11">
        <v>17772.944</v>
      </c>
      <c r="H48" s="11">
        <v>19019.944</v>
      </c>
      <c r="I48" s="11">
        <v>20504.804</v>
      </c>
      <c r="J48" s="11">
        <v>21344.664000000001</v>
      </c>
      <c r="K48" s="11">
        <v>22315.011999999999</v>
      </c>
    </row>
    <row r="49" spans="1:11" ht="15" customHeight="1" outlineLevel="1" x14ac:dyDescent="0.3">
      <c r="A49" s="21" t="s">
        <v>172</v>
      </c>
      <c r="B49" s="9">
        <v>79.129000000000005</v>
      </c>
      <c r="C49" s="9">
        <v>83.715999999999994</v>
      </c>
      <c r="D49" s="9">
        <v>95.572000000000003</v>
      </c>
      <c r="E49" s="9">
        <v>77.963999999999999</v>
      </c>
      <c r="F49" s="9">
        <v>83.875</v>
      </c>
      <c r="G49" s="9">
        <v>66.028999999999996</v>
      </c>
      <c r="H49" s="9">
        <v>79.796999999999997</v>
      </c>
      <c r="I49" s="9">
        <v>78.754999999999995</v>
      </c>
      <c r="J49" s="9">
        <v>83.486999999999995</v>
      </c>
      <c r="K49" s="9">
        <v>78.524000000000001</v>
      </c>
    </row>
    <row r="50" spans="1:11" ht="15" customHeight="1" outlineLevel="1" x14ac:dyDescent="0.3">
      <c r="A50" s="6" t="s">
        <v>173</v>
      </c>
      <c r="B50" s="7">
        <v>0.98</v>
      </c>
      <c r="C50" s="7">
        <v>0.94</v>
      </c>
      <c r="D50" s="7">
        <v>0.9</v>
      </c>
      <c r="E50" s="7">
        <v>0.85</v>
      </c>
      <c r="F50" s="7">
        <v>0.79500000000000004</v>
      </c>
      <c r="G50" s="7">
        <v>0.75</v>
      </c>
      <c r="H50" s="7">
        <v>0.68</v>
      </c>
      <c r="I50" s="7">
        <v>0.6</v>
      </c>
      <c r="J50" s="7">
        <v>0.54500000000000004</v>
      </c>
      <c r="K50" s="7">
        <v>0.495</v>
      </c>
    </row>
    <row r="51" spans="1:11" ht="15" customHeight="1" outlineLevel="2" x14ac:dyDescent="0.3">
      <c r="A51" s="8" t="s">
        <v>174</v>
      </c>
      <c r="B51" s="9">
        <v>16.108882999999999</v>
      </c>
      <c r="C51" s="9">
        <v>15.324420999999999</v>
      </c>
      <c r="D51" s="9">
        <v>14.722239999999999</v>
      </c>
      <c r="E51" s="9">
        <v>15.14072</v>
      </c>
      <c r="F51" s="9">
        <v>24.271844999999999</v>
      </c>
      <c r="G51" s="9">
        <v>25.240627</v>
      </c>
      <c r="H51" s="9">
        <v>22.837951</v>
      </c>
      <c r="I51" s="9">
        <v>26.058631999999999</v>
      </c>
      <c r="J51" s="9">
        <v>26.233453999999998</v>
      </c>
      <c r="K51" s="9">
        <v>21.475054</v>
      </c>
    </row>
    <row r="52" spans="1:11" ht="15" customHeight="1" x14ac:dyDescent="0.3">
      <c r="A52" s="20" t="s">
        <v>35</v>
      </c>
      <c r="B52" s="20"/>
      <c r="C52" s="20"/>
      <c r="D52" s="20"/>
      <c r="E52" s="20"/>
      <c r="F52" s="20"/>
      <c r="G52" s="20"/>
      <c r="H52" s="20"/>
      <c r="I52" s="20"/>
      <c r="J52" s="20"/>
      <c r="K52" s="20"/>
    </row>
    <row r="53" spans="1:11" ht="15" customHeight="1" outlineLevel="1" x14ac:dyDescent="0.3">
      <c r="A53" s="12" t="s">
        <v>35</v>
      </c>
      <c r="B53" s="13">
        <v>134.661</v>
      </c>
      <c r="C53" s="13">
        <v>125.82</v>
      </c>
      <c r="D53" s="13">
        <v>130.541</v>
      </c>
      <c r="E53" s="13">
        <v>120.233</v>
      </c>
      <c r="F53" s="13">
        <v>76.394999999999996</v>
      </c>
      <c r="G53" s="13">
        <v>75.789000000000001</v>
      </c>
      <c r="H53" s="13">
        <v>81.944999999999993</v>
      </c>
      <c r="I53" s="13">
        <v>69.427999999999997</v>
      </c>
      <c r="J53" s="13">
        <v>68.281000000000006</v>
      </c>
      <c r="K53" s="13">
        <v>77.13</v>
      </c>
    </row>
    <row r="54" spans="1:11" ht="15" customHeight="1" outlineLevel="2" x14ac:dyDescent="0.3">
      <c r="A54" s="10" t="s">
        <v>38</v>
      </c>
      <c r="B54" s="11">
        <v>123.21599999999999</v>
      </c>
      <c r="C54" s="11">
        <v>114.301</v>
      </c>
      <c r="D54" s="11">
        <v>119.437</v>
      </c>
      <c r="E54" s="11">
        <v>108.949</v>
      </c>
      <c r="F54" s="11">
        <v>65.338999999999999</v>
      </c>
      <c r="G54" s="11">
        <v>63.241999999999997</v>
      </c>
      <c r="H54" s="11">
        <v>71.042000000000002</v>
      </c>
      <c r="I54" s="11">
        <v>60.027999999999999</v>
      </c>
      <c r="J54" s="11">
        <v>58.481000000000002</v>
      </c>
      <c r="K54" s="11">
        <v>66.63</v>
      </c>
    </row>
    <row r="55" spans="1:11" ht="15" customHeight="1" outlineLevel="2" x14ac:dyDescent="0.3">
      <c r="A55" s="8" t="s">
        <v>137</v>
      </c>
      <c r="B55" s="9">
        <v>11.445</v>
      </c>
      <c r="C55" s="9">
        <v>11.519</v>
      </c>
      <c r="D55" s="9">
        <v>11.103999999999999</v>
      </c>
      <c r="E55" s="9">
        <v>11.284000000000001</v>
      </c>
      <c r="F55" s="9">
        <v>11.055999999999999</v>
      </c>
      <c r="G55" s="9">
        <v>12.547000000000001</v>
      </c>
      <c r="H55" s="9">
        <v>10.903</v>
      </c>
      <c r="I55" s="9">
        <v>9.4</v>
      </c>
      <c r="J55" s="9">
        <v>9.8000000000000007</v>
      </c>
      <c r="K55" s="9">
        <v>10.5</v>
      </c>
    </row>
    <row r="56" spans="1:11" ht="15" customHeight="1" x14ac:dyDescent="0.3">
      <c r="A56" s="25" t="s">
        <v>175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8B24-0F8B-49A9-ADAE-CBB0A5ED6164}">
  <dimension ref="A1:K70"/>
  <sheetViews>
    <sheetView topLeftCell="A5" workbookViewId="0">
      <selection activeCell="B18" sqref="B18"/>
    </sheetView>
  </sheetViews>
  <sheetFormatPr defaultColWidth="9.109375" defaultRowHeight="14.4" outlineLevelRow="3" x14ac:dyDescent="0.3"/>
  <cols>
    <col min="1" max="1" width="65.88671875" customWidth="1"/>
    <col min="2" max="11" width="8" customWidth="1"/>
  </cols>
  <sheetData>
    <row r="1" spans="1:11" ht="15" customHeight="1" x14ac:dyDescent="0.3">
      <c r="A1" s="1" t="s">
        <v>48</v>
      </c>
    </row>
    <row r="2" spans="1:11" ht="15" customHeight="1" x14ac:dyDescent="0.3">
      <c r="A2" s="2" t="s">
        <v>49</v>
      </c>
    </row>
    <row r="3" spans="1:11" ht="15" customHeigh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ht="15" customHeight="1" x14ac:dyDescent="0.3"/>
    <row r="5" spans="1:11" ht="15" customHeight="1" x14ac:dyDescent="0.3">
      <c r="A5" s="4" t="s">
        <v>120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" customHeight="1" x14ac:dyDescent="0.3">
      <c r="A6" s="4" t="s">
        <v>121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" customHeight="1" x14ac:dyDescent="0.3">
      <c r="A7" s="4" t="s">
        <v>122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5" customHeight="1" x14ac:dyDescent="0.3">
      <c r="A8" s="4"/>
      <c r="B8" s="4" t="s">
        <v>123</v>
      </c>
      <c r="C8" s="4" t="s">
        <v>124</v>
      </c>
      <c r="D8" s="4" t="s">
        <v>125</v>
      </c>
      <c r="E8" s="4" t="s">
        <v>126</v>
      </c>
      <c r="F8" s="4" t="s">
        <v>127</v>
      </c>
      <c r="G8" s="4" t="s">
        <v>128</v>
      </c>
      <c r="H8" s="4" t="s">
        <v>129</v>
      </c>
      <c r="I8" s="4" t="s">
        <v>130</v>
      </c>
      <c r="J8" s="4" t="s">
        <v>131</v>
      </c>
      <c r="K8" s="4" t="s">
        <v>132</v>
      </c>
    </row>
    <row r="9" spans="1:11" ht="15" customHeight="1" x14ac:dyDescent="0.3">
      <c r="A9" s="5" t="s">
        <v>176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ht="15" customHeight="1" outlineLevel="1" x14ac:dyDescent="0.3">
      <c r="A10" s="6" t="s">
        <v>177</v>
      </c>
      <c r="B10" s="7">
        <v>65.171000000000006</v>
      </c>
      <c r="C10" s="7">
        <v>61.555</v>
      </c>
      <c r="D10" s="7">
        <v>48.304000000000002</v>
      </c>
      <c r="E10" s="7">
        <v>62.639000000000003</v>
      </c>
      <c r="F10" s="7">
        <v>90.978999999999999</v>
      </c>
      <c r="G10" s="7">
        <v>100.58</v>
      </c>
      <c r="H10" s="7">
        <v>66.301000000000002</v>
      </c>
      <c r="I10" s="7">
        <v>74.180999999999997</v>
      </c>
      <c r="J10" s="7">
        <v>67.155000000000001</v>
      </c>
      <c r="K10" s="7">
        <v>41.600999999999999</v>
      </c>
    </row>
    <row r="11" spans="1:11" ht="15" customHeight="1" outlineLevel="2" x14ac:dyDescent="0.3">
      <c r="A11" s="8" t="s">
        <v>178</v>
      </c>
      <c r="B11" s="9">
        <v>27.977</v>
      </c>
      <c r="C11" s="9">
        <v>28.84</v>
      </c>
      <c r="D11" s="9">
        <v>21.475000000000001</v>
      </c>
      <c r="E11" s="9">
        <v>26.913</v>
      </c>
      <c r="F11" s="9">
        <v>19.98</v>
      </c>
      <c r="G11" s="9">
        <v>28.123999999999999</v>
      </c>
      <c r="H11" s="9">
        <v>19.658000000000001</v>
      </c>
      <c r="I11" s="9">
        <v>14.516</v>
      </c>
      <c r="J11" s="9">
        <v>12.266999999999999</v>
      </c>
      <c r="K11" s="9">
        <v>13.186999999999999</v>
      </c>
    </row>
    <row r="12" spans="1:11" ht="15" customHeight="1" outlineLevel="2" x14ac:dyDescent="0.3">
      <c r="A12" s="10" t="s">
        <v>179</v>
      </c>
      <c r="B12" s="11">
        <v>37.194000000000003</v>
      </c>
      <c r="C12" s="11">
        <v>32.715000000000003</v>
      </c>
      <c r="D12" s="11">
        <v>26.829000000000001</v>
      </c>
      <c r="E12" s="11">
        <v>35.725999999999999</v>
      </c>
      <c r="F12" s="11">
        <v>70.998999999999995</v>
      </c>
      <c r="G12" s="11">
        <v>72.456000000000003</v>
      </c>
      <c r="H12" s="11">
        <v>46.643000000000001</v>
      </c>
      <c r="I12" s="11">
        <v>59.664999999999999</v>
      </c>
      <c r="J12" s="11">
        <v>54.887999999999998</v>
      </c>
      <c r="K12" s="11">
        <v>28.414000000000001</v>
      </c>
    </row>
    <row r="13" spans="1:11" ht="15" customHeight="1" outlineLevel="1" x14ac:dyDescent="0.3">
      <c r="A13" s="12" t="s">
        <v>180</v>
      </c>
      <c r="B13" s="13">
        <v>66.242999999999995</v>
      </c>
      <c r="C13" s="13">
        <v>60.984999999999999</v>
      </c>
      <c r="D13" s="13">
        <v>60.932000000000002</v>
      </c>
      <c r="E13" s="13">
        <v>51.506</v>
      </c>
      <c r="F13" s="13">
        <v>37.445</v>
      </c>
      <c r="G13" s="13">
        <v>45.804000000000002</v>
      </c>
      <c r="H13" s="13">
        <v>48.994999999999997</v>
      </c>
      <c r="I13" s="13">
        <v>35.673000000000002</v>
      </c>
      <c r="J13" s="13">
        <v>29.298999999999999</v>
      </c>
      <c r="K13" s="13">
        <v>30.343</v>
      </c>
    </row>
    <row r="14" spans="1:11" ht="15" customHeight="1" outlineLevel="2" x14ac:dyDescent="0.3">
      <c r="A14" s="14" t="s">
        <v>181</v>
      </c>
      <c r="B14" s="7">
        <v>33.409999999999997</v>
      </c>
      <c r="C14" s="7">
        <v>29.507999999999999</v>
      </c>
      <c r="D14" s="7">
        <v>28.184000000000001</v>
      </c>
      <c r="E14" s="7">
        <v>26.277999999999999</v>
      </c>
      <c r="F14" s="7">
        <v>16.12</v>
      </c>
      <c r="G14" s="7">
        <v>22.925999999999998</v>
      </c>
      <c r="H14" s="7">
        <v>23.186</v>
      </c>
      <c r="I14" s="7">
        <v>17.873999999999999</v>
      </c>
      <c r="J14" s="7">
        <v>15.754</v>
      </c>
      <c r="K14" s="7">
        <v>16.849</v>
      </c>
    </row>
    <row r="15" spans="1:11" ht="15" customHeight="1" outlineLevel="3" x14ac:dyDescent="0.3">
      <c r="A15" s="15" t="s">
        <v>182</v>
      </c>
      <c r="B15" s="9">
        <v>33.409999999999997</v>
      </c>
      <c r="C15" s="9">
        <v>29.507999999999999</v>
      </c>
      <c r="D15" s="9">
        <v>28.184000000000001</v>
      </c>
      <c r="E15" s="9">
        <v>26.277999999999999</v>
      </c>
      <c r="F15" s="9">
        <v>16.12</v>
      </c>
      <c r="G15" s="9">
        <v>22.925999999999998</v>
      </c>
      <c r="H15" s="9">
        <v>23.186</v>
      </c>
      <c r="I15" s="9">
        <v>17.931999999999999</v>
      </c>
      <c r="J15" s="9">
        <v>15.807</v>
      </c>
      <c r="K15" s="9">
        <v>16.931000000000001</v>
      </c>
    </row>
    <row r="16" spans="1:11" ht="15" customHeight="1" outlineLevel="3" x14ac:dyDescent="0.3">
      <c r="A16" s="16" t="s">
        <v>183</v>
      </c>
      <c r="B16" s="17"/>
      <c r="C16" s="17"/>
      <c r="D16" s="17"/>
      <c r="E16" s="17"/>
      <c r="F16" s="17"/>
      <c r="G16" s="17"/>
      <c r="H16" s="17"/>
      <c r="I16" s="18">
        <v>-5.8000000000000003E-2</v>
      </c>
      <c r="J16" s="18">
        <v>-5.2999999999999999E-2</v>
      </c>
      <c r="K16" s="18">
        <v>-8.2000000000000003E-2</v>
      </c>
    </row>
    <row r="17" spans="1:11" ht="15" customHeight="1" outlineLevel="2" x14ac:dyDescent="0.3">
      <c r="A17" s="8" t="s">
        <v>184</v>
      </c>
      <c r="B17" s="9">
        <v>32.832999999999998</v>
      </c>
      <c r="C17" s="9">
        <v>31.477</v>
      </c>
      <c r="D17" s="9">
        <v>32.747999999999998</v>
      </c>
      <c r="E17" s="9">
        <v>25.228000000000002</v>
      </c>
      <c r="F17" s="9">
        <v>21.324999999999999</v>
      </c>
      <c r="G17" s="9">
        <v>22.878</v>
      </c>
      <c r="H17" s="9">
        <v>25.809000000000001</v>
      </c>
      <c r="I17" s="9">
        <v>17.798999999999999</v>
      </c>
      <c r="J17" s="9">
        <v>13.545</v>
      </c>
      <c r="K17" s="9">
        <v>13.494</v>
      </c>
    </row>
    <row r="18" spans="1:11" ht="15" customHeight="1" outlineLevel="1" x14ac:dyDescent="0.3">
      <c r="A18" s="6" t="s">
        <v>185</v>
      </c>
      <c r="B18" s="7">
        <v>7.2859999999999996</v>
      </c>
      <c r="C18" s="7">
        <v>6.3310000000000004</v>
      </c>
      <c r="D18" s="7">
        <v>4.9459999999999997</v>
      </c>
      <c r="E18" s="7">
        <v>6.58</v>
      </c>
      <c r="F18" s="7">
        <v>4.0609999999999999</v>
      </c>
      <c r="G18" s="7">
        <v>4.1059999999999999</v>
      </c>
      <c r="H18" s="7">
        <v>3.956</v>
      </c>
      <c r="I18" s="7">
        <v>4.8550000000000004</v>
      </c>
      <c r="J18" s="7">
        <v>2.1320000000000001</v>
      </c>
      <c r="K18" s="7">
        <v>2.3490000000000002</v>
      </c>
    </row>
    <row r="19" spans="1:11" ht="15" customHeight="1" outlineLevel="2" x14ac:dyDescent="0.3">
      <c r="A19" s="8" t="s">
        <v>186</v>
      </c>
      <c r="B19" s="9">
        <v>7.2859999999999996</v>
      </c>
      <c r="C19" s="9">
        <v>6.3310000000000004</v>
      </c>
      <c r="D19" s="9">
        <v>4.9459999999999997</v>
      </c>
      <c r="E19" s="9">
        <v>6.58</v>
      </c>
      <c r="F19" s="9">
        <v>4.0609999999999999</v>
      </c>
      <c r="G19" s="9">
        <v>4.1059999999999999</v>
      </c>
      <c r="H19" s="9">
        <v>3.956</v>
      </c>
      <c r="I19" s="9">
        <v>4.8550000000000004</v>
      </c>
      <c r="J19" s="9">
        <v>2.1320000000000001</v>
      </c>
      <c r="K19" s="9">
        <v>2.3490000000000002</v>
      </c>
    </row>
    <row r="20" spans="1:11" ht="15" customHeight="1" outlineLevel="1" x14ac:dyDescent="0.3">
      <c r="A20" s="6" t="s">
        <v>187</v>
      </c>
      <c r="B20" s="7">
        <v>14.287000000000001</v>
      </c>
      <c r="C20" s="7">
        <v>14.695</v>
      </c>
      <c r="D20" s="7">
        <v>21.222999999999999</v>
      </c>
      <c r="E20" s="7">
        <v>14.111000000000001</v>
      </c>
      <c r="F20" s="7">
        <v>11.228</v>
      </c>
      <c r="G20" s="7">
        <v>12.329000000000001</v>
      </c>
      <c r="H20" s="7">
        <v>12.087</v>
      </c>
      <c r="I20" s="7">
        <v>13.936</v>
      </c>
      <c r="J20" s="7">
        <v>8.2829999999999995</v>
      </c>
      <c r="K20" s="7">
        <v>15.085000000000001</v>
      </c>
    </row>
    <row r="21" spans="1:11" ht="15" customHeight="1" outlineLevel="2" x14ac:dyDescent="0.3">
      <c r="A21" s="8" t="s">
        <v>188</v>
      </c>
      <c r="B21" s="9">
        <v>14.287000000000001</v>
      </c>
      <c r="C21" s="9">
        <v>14.695</v>
      </c>
      <c r="D21" s="9">
        <v>21.222999999999999</v>
      </c>
      <c r="E21" s="9">
        <v>14.111000000000001</v>
      </c>
      <c r="F21" s="9">
        <v>11.228</v>
      </c>
      <c r="G21" s="9">
        <v>12.329000000000001</v>
      </c>
      <c r="H21" s="9">
        <v>12.087</v>
      </c>
      <c r="I21" s="9">
        <v>13.936</v>
      </c>
      <c r="J21" s="9">
        <v>8.2829999999999995</v>
      </c>
      <c r="K21" s="9">
        <v>15.085000000000001</v>
      </c>
    </row>
    <row r="22" spans="1:11" ht="15" customHeight="1" outlineLevel="1" x14ac:dyDescent="0.3">
      <c r="A22" s="19" t="s">
        <v>189</v>
      </c>
      <c r="B22" s="11">
        <v>152.98699999999999</v>
      </c>
      <c r="C22" s="11">
        <v>143.566</v>
      </c>
      <c r="D22" s="11">
        <v>135.405</v>
      </c>
      <c r="E22" s="11">
        <v>134.83600000000001</v>
      </c>
      <c r="F22" s="11">
        <v>143.71299999999999</v>
      </c>
      <c r="G22" s="11">
        <v>162.81899999999999</v>
      </c>
      <c r="H22" s="11">
        <v>131.339</v>
      </c>
      <c r="I22" s="11">
        <v>128.64500000000001</v>
      </c>
      <c r="J22" s="11">
        <v>106.869</v>
      </c>
      <c r="K22" s="11">
        <v>89.378</v>
      </c>
    </row>
    <row r="23" spans="1:11" ht="15" customHeight="1" outlineLevel="1" x14ac:dyDescent="0.3">
      <c r="A23" s="12" t="s">
        <v>190</v>
      </c>
      <c r="B23" s="13">
        <v>55.914000000000001</v>
      </c>
      <c r="C23" s="13">
        <v>54.375999999999998</v>
      </c>
      <c r="D23" s="13">
        <v>52.533999999999999</v>
      </c>
      <c r="E23" s="13">
        <v>49.527000000000001</v>
      </c>
      <c r="F23" s="13">
        <v>45.335999999999999</v>
      </c>
      <c r="G23" s="13">
        <v>37.378</v>
      </c>
      <c r="H23" s="13">
        <v>41.304000000000002</v>
      </c>
      <c r="I23" s="13">
        <v>33.783000000000001</v>
      </c>
      <c r="J23" s="13">
        <v>27.01</v>
      </c>
      <c r="K23" s="13">
        <v>22.471</v>
      </c>
    </row>
    <row r="24" spans="1:11" ht="15" customHeight="1" outlineLevel="2" x14ac:dyDescent="0.3">
      <c r="A24" s="14" t="s">
        <v>191</v>
      </c>
      <c r="B24" s="7">
        <v>129.36199999999999</v>
      </c>
      <c r="C24" s="7">
        <v>125.26</v>
      </c>
      <c r="D24" s="7">
        <v>124.874</v>
      </c>
      <c r="E24" s="7">
        <v>119.81</v>
      </c>
      <c r="F24" s="7">
        <v>112.096</v>
      </c>
      <c r="G24" s="7">
        <v>95.956999999999994</v>
      </c>
      <c r="H24" s="7">
        <v>90.403000000000006</v>
      </c>
      <c r="I24" s="7">
        <v>75.075999999999993</v>
      </c>
      <c r="J24" s="7">
        <v>61.244999999999997</v>
      </c>
      <c r="K24" s="7">
        <v>49.256999999999998</v>
      </c>
    </row>
    <row r="25" spans="1:11" ht="15" customHeight="1" outlineLevel="3" x14ac:dyDescent="0.3">
      <c r="A25" s="15" t="s">
        <v>192</v>
      </c>
      <c r="B25" s="9">
        <v>24.69</v>
      </c>
      <c r="C25" s="9">
        <v>23.446000000000002</v>
      </c>
      <c r="D25" s="9">
        <v>22.126000000000001</v>
      </c>
      <c r="E25" s="9">
        <v>20.041</v>
      </c>
      <c r="F25" s="9">
        <v>17.952000000000002</v>
      </c>
      <c r="G25" s="9">
        <v>17.085000000000001</v>
      </c>
      <c r="H25" s="9">
        <v>16.216000000000001</v>
      </c>
      <c r="I25" s="9">
        <v>13.587</v>
      </c>
      <c r="J25" s="9">
        <v>10.185</v>
      </c>
      <c r="K25" s="9">
        <v>6.9560000000000004</v>
      </c>
    </row>
    <row r="26" spans="1:11" ht="15" customHeight="1" outlineLevel="3" x14ac:dyDescent="0.3">
      <c r="A26" s="16" t="s">
        <v>193</v>
      </c>
      <c r="B26" s="11">
        <v>80.204999999999998</v>
      </c>
      <c r="C26" s="11">
        <v>78.313999999999993</v>
      </c>
      <c r="D26" s="11">
        <v>81.06</v>
      </c>
      <c r="E26" s="11">
        <v>78.659000000000006</v>
      </c>
      <c r="F26" s="11">
        <v>75.290999999999997</v>
      </c>
      <c r="G26" s="11">
        <v>69.796999999999997</v>
      </c>
      <c r="H26" s="11">
        <v>65.981999999999999</v>
      </c>
      <c r="I26" s="11">
        <v>54.21</v>
      </c>
      <c r="J26" s="11">
        <v>44.542999999999999</v>
      </c>
      <c r="K26" s="11">
        <v>37.037999999999997</v>
      </c>
    </row>
    <row r="27" spans="1:11" ht="15" customHeight="1" outlineLevel="3" x14ac:dyDescent="0.3">
      <c r="A27" s="15" t="s">
        <v>194</v>
      </c>
      <c r="B27" s="9">
        <v>14.233000000000001</v>
      </c>
      <c r="C27" s="9">
        <v>12.839</v>
      </c>
      <c r="D27" s="9">
        <v>11.271000000000001</v>
      </c>
      <c r="E27" s="9">
        <v>11.023</v>
      </c>
      <c r="F27" s="9">
        <v>10.282999999999999</v>
      </c>
      <c r="G27" s="9">
        <v>9.0749999999999993</v>
      </c>
      <c r="H27" s="9">
        <v>8.2050000000000001</v>
      </c>
      <c r="I27" s="9">
        <v>7.2789999999999999</v>
      </c>
      <c r="J27" s="9">
        <v>6.5170000000000003</v>
      </c>
      <c r="K27" s="9">
        <v>5.2629999999999999</v>
      </c>
    </row>
    <row r="28" spans="1:11" ht="15" customHeight="1" outlineLevel="3" x14ac:dyDescent="0.3">
      <c r="A28" s="16" t="s">
        <v>195</v>
      </c>
      <c r="B28" s="11">
        <v>10.234</v>
      </c>
      <c r="C28" s="11">
        <v>10.661</v>
      </c>
      <c r="D28" s="11">
        <v>10.417</v>
      </c>
      <c r="E28" s="11">
        <v>10.087</v>
      </c>
      <c r="F28" s="11">
        <v>8.57</v>
      </c>
      <c r="G28" s="17"/>
      <c r="H28" s="17"/>
      <c r="I28" s="17"/>
      <c r="J28" s="17"/>
      <c r="K28" s="17"/>
    </row>
    <row r="29" spans="1:11" ht="15" customHeight="1" outlineLevel="2" x14ac:dyDescent="0.3">
      <c r="A29" s="8" t="s">
        <v>196</v>
      </c>
      <c r="B29" s="9">
        <v>73.447999999999993</v>
      </c>
      <c r="C29" s="9">
        <v>70.884</v>
      </c>
      <c r="D29" s="9">
        <v>72.34</v>
      </c>
      <c r="E29" s="9">
        <v>70.283000000000001</v>
      </c>
      <c r="F29" s="9">
        <v>66.760000000000005</v>
      </c>
      <c r="G29" s="9">
        <v>58.579000000000001</v>
      </c>
      <c r="H29" s="9">
        <v>49.098999999999997</v>
      </c>
      <c r="I29" s="9">
        <v>41.292999999999999</v>
      </c>
      <c r="J29" s="9">
        <v>34.234999999999999</v>
      </c>
      <c r="K29" s="9">
        <v>26.786000000000001</v>
      </c>
    </row>
    <row r="30" spans="1:11" ht="15" customHeight="1" outlineLevel="1" x14ac:dyDescent="0.3">
      <c r="A30" s="6" t="s">
        <v>197</v>
      </c>
      <c r="B30" s="7">
        <v>91.478999999999999</v>
      </c>
      <c r="C30" s="7">
        <v>100.544</v>
      </c>
      <c r="D30" s="7">
        <v>120.80500000000001</v>
      </c>
      <c r="E30" s="7">
        <v>127.877</v>
      </c>
      <c r="F30" s="7">
        <v>102.624</v>
      </c>
      <c r="G30" s="7">
        <v>106.69799999999999</v>
      </c>
      <c r="H30" s="7">
        <v>170.79900000000001</v>
      </c>
      <c r="I30" s="7">
        <v>194.714</v>
      </c>
      <c r="J30" s="7">
        <v>170.43</v>
      </c>
      <c r="K30" s="7">
        <v>164.065</v>
      </c>
    </row>
    <row r="31" spans="1:11" ht="15" customHeight="1" outlineLevel="2" x14ac:dyDescent="0.3">
      <c r="A31" s="8" t="s">
        <v>198</v>
      </c>
      <c r="B31" s="9">
        <v>91.478999999999999</v>
      </c>
      <c r="C31" s="9">
        <v>100.544</v>
      </c>
      <c r="D31" s="9">
        <v>120.80500000000001</v>
      </c>
      <c r="E31" s="9">
        <v>127.877</v>
      </c>
      <c r="F31" s="9">
        <v>102.624</v>
      </c>
      <c r="G31" s="9">
        <v>106.69799999999999</v>
      </c>
      <c r="H31" s="9">
        <v>170.79900000000001</v>
      </c>
      <c r="I31" s="9">
        <v>194.714</v>
      </c>
      <c r="J31" s="9">
        <v>170.43</v>
      </c>
      <c r="K31" s="9">
        <v>164.065</v>
      </c>
    </row>
    <row r="32" spans="1:11" ht="15" customHeight="1" outlineLevel="1" x14ac:dyDescent="0.3">
      <c r="A32" s="6" t="s">
        <v>199</v>
      </c>
      <c r="B32" s="20"/>
      <c r="C32" s="20"/>
      <c r="D32" s="20"/>
      <c r="E32" s="20"/>
      <c r="F32" s="20"/>
      <c r="G32" s="20"/>
      <c r="H32" s="20"/>
      <c r="I32" s="7">
        <v>8.0150000000000006</v>
      </c>
      <c r="J32" s="7">
        <v>8.6199999999999992</v>
      </c>
      <c r="K32" s="7">
        <v>9.0090000000000003</v>
      </c>
    </row>
    <row r="33" spans="1:11" ht="15" customHeight="1" outlineLevel="2" x14ac:dyDescent="0.3">
      <c r="A33" s="8" t="s">
        <v>200</v>
      </c>
      <c r="B33" s="9">
        <v>0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5.7169999999999996</v>
      </c>
      <c r="J33" s="9">
        <v>5.4139999999999997</v>
      </c>
      <c r="K33" s="9">
        <v>5.1159999999999997</v>
      </c>
    </row>
    <row r="34" spans="1:11" ht="15" customHeight="1" outlineLevel="2" x14ac:dyDescent="0.3">
      <c r="A34" s="10" t="s">
        <v>201</v>
      </c>
      <c r="B34" s="17"/>
      <c r="C34" s="17"/>
      <c r="D34" s="17"/>
      <c r="E34" s="17"/>
      <c r="F34" s="17"/>
      <c r="G34" s="17"/>
      <c r="H34" s="17"/>
      <c r="I34" s="11">
        <v>2.298</v>
      </c>
      <c r="J34" s="11">
        <v>3.206</v>
      </c>
      <c r="K34" s="11">
        <v>3.8929999999999998</v>
      </c>
    </row>
    <row r="35" spans="1:11" ht="15" customHeight="1" outlineLevel="1" x14ac:dyDescent="0.3">
      <c r="A35" s="21" t="s">
        <v>202</v>
      </c>
      <c r="B35" s="9">
        <v>19.498999999999999</v>
      </c>
      <c r="C35" s="22"/>
      <c r="D35" s="22"/>
      <c r="E35" s="22"/>
      <c r="F35" s="22"/>
      <c r="G35" s="22"/>
      <c r="H35" s="22"/>
      <c r="I35" s="22"/>
      <c r="J35" s="22"/>
      <c r="K35" s="22"/>
    </row>
    <row r="36" spans="1:11" ht="15" customHeight="1" outlineLevel="1" x14ac:dyDescent="0.3">
      <c r="A36" s="6" t="s">
        <v>203</v>
      </c>
      <c r="B36" s="7">
        <v>45.100999999999999</v>
      </c>
      <c r="C36" s="7">
        <v>54.097000000000001</v>
      </c>
      <c r="D36" s="7">
        <v>44.011000000000003</v>
      </c>
      <c r="E36" s="7">
        <v>38.762</v>
      </c>
      <c r="F36" s="7">
        <v>32.215000000000003</v>
      </c>
      <c r="G36" s="7">
        <v>31.620999999999999</v>
      </c>
      <c r="H36" s="7">
        <v>22.283000000000001</v>
      </c>
      <c r="I36" s="7">
        <v>10.162000000000001</v>
      </c>
      <c r="J36" s="7">
        <v>8.7569999999999997</v>
      </c>
      <c r="K36" s="7">
        <v>5.556</v>
      </c>
    </row>
    <row r="37" spans="1:11" ht="15" customHeight="1" outlineLevel="2" x14ac:dyDescent="0.3">
      <c r="A37" s="8" t="s">
        <v>204</v>
      </c>
      <c r="B37" s="9">
        <v>45.100999999999999</v>
      </c>
      <c r="C37" s="9">
        <v>54.097000000000001</v>
      </c>
      <c r="D37" s="9">
        <v>44.011000000000003</v>
      </c>
      <c r="E37" s="9">
        <v>38.762</v>
      </c>
      <c r="F37" s="9">
        <v>32.215000000000003</v>
      </c>
      <c r="G37" s="9">
        <v>31.620999999999999</v>
      </c>
      <c r="H37" s="9">
        <v>22.283000000000001</v>
      </c>
      <c r="I37" s="9">
        <v>10.162000000000001</v>
      </c>
      <c r="J37" s="9">
        <v>8.7569999999999997</v>
      </c>
      <c r="K37" s="9">
        <v>5.556</v>
      </c>
    </row>
    <row r="38" spans="1:11" ht="15" customHeight="1" outlineLevel="1" x14ac:dyDescent="0.3">
      <c r="A38" s="19" t="s">
        <v>205</v>
      </c>
      <c r="B38" s="11">
        <v>364.98</v>
      </c>
      <c r="C38" s="11">
        <v>352.58300000000003</v>
      </c>
      <c r="D38" s="11">
        <v>352.755</v>
      </c>
      <c r="E38" s="11">
        <v>351.00200000000001</v>
      </c>
      <c r="F38" s="11">
        <v>323.88799999999998</v>
      </c>
      <c r="G38" s="11">
        <v>338.51600000000002</v>
      </c>
      <c r="H38" s="11">
        <v>365.72500000000002</v>
      </c>
      <c r="I38" s="11">
        <v>375.31900000000002</v>
      </c>
      <c r="J38" s="11">
        <v>321.68599999999998</v>
      </c>
      <c r="K38" s="11">
        <v>290.47899999999998</v>
      </c>
    </row>
    <row r="39" spans="1:11" ht="15" customHeight="1" x14ac:dyDescent="0.3">
      <c r="A39" s="5" t="s">
        <v>206</v>
      </c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ht="15" customHeight="1" outlineLevel="1" x14ac:dyDescent="0.3">
      <c r="A40" s="6" t="s">
        <v>207</v>
      </c>
      <c r="B40" s="20"/>
      <c r="C40" s="20"/>
      <c r="D40" s="20"/>
      <c r="E40" s="20"/>
      <c r="F40" s="20"/>
      <c r="G40" s="20"/>
      <c r="H40" s="20"/>
      <c r="I40" s="20"/>
      <c r="J40" s="20"/>
      <c r="K40" s="20"/>
    </row>
    <row r="41" spans="1:11" ht="15" customHeight="1" outlineLevel="2" x14ac:dyDescent="0.3">
      <c r="A41" s="8" t="s">
        <v>208</v>
      </c>
      <c r="B41" s="9">
        <v>22.510999999999999</v>
      </c>
      <c r="C41" s="9">
        <v>17.382000000000001</v>
      </c>
      <c r="D41" s="9">
        <v>22.773</v>
      </c>
      <c r="E41" s="9">
        <v>17.140999999999998</v>
      </c>
      <c r="F41" s="9">
        <v>15.228999999999999</v>
      </c>
      <c r="G41" s="9">
        <v>16.239999999999998</v>
      </c>
      <c r="H41" s="9">
        <v>20.748000000000001</v>
      </c>
      <c r="I41" s="9">
        <v>18.472999999999999</v>
      </c>
      <c r="J41" s="9">
        <v>11.605</v>
      </c>
      <c r="K41" s="9">
        <v>10.999000000000001</v>
      </c>
    </row>
    <row r="42" spans="1:11" ht="15" customHeight="1" outlineLevel="2" x14ac:dyDescent="0.3">
      <c r="A42" s="10" t="s">
        <v>209</v>
      </c>
      <c r="B42" s="11">
        <v>68.959999999999994</v>
      </c>
      <c r="C42" s="11">
        <v>62.610999999999997</v>
      </c>
      <c r="D42" s="11">
        <v>64.114999999999995</v>
      </c>
      <c r="E42" s="11">
        <v>54.762999999999998</v>
      </c>
      <c r="F42" s="11">
        <v>42.295999999999999</v>
      </c>
      <c r="G42" s="11">
        <v>46.235999999999997</v>
      </c>
      <c r="H42" s="11">
        <v>55.887999999999998</v>
      </c>
      <c r="I42" s="11">
        <v>49.048999999999999</v>
      </c>
      <c r="J42" s="11">
        <v>37.293999999999997</v>
      </c>
      <c r="K42" s="11">
        <v>35.49</v>
      </c>
    </row>
    <row r="43" spans="1:11" ht="15" customHeight="1" outlineLevel="2" x14ac:dyDescent="0.3">
      <c r="A43" s="8" t="s">
        <v>210</v>
      </c>
      <c r="B43" s="9">
        <v>26.600999999999999</v>
      </c>
      <c r="C43" s="22"/>
      <c r="D43" s="22"/>
      <c r="E43" s="22"/>
      <c r="F43" s="22"/>
      <c r="G43" s="22"/>
      <c r="H43" s="22"/>
      <c r="I43" s="22"/>
      <c r="J43" s="22"/>
      <c r="K43" s="22"/>
    </row>
    <row r="44" spans="1:11" ht="15" customHeight="1" outlineLevel="2" x14ac:dyDescent="0.3">
      <c r="A44" s="14" t="s">
        <v>211</v>
      </c>
      <c r="B44" s="7">
        <v>58.32</v>
      </c>
      <c r="C44" s="7">
        <v>65.314999999999998</v>
      </c>
      <c r="D44" s="7">
        <v>67.093999999999994</v>
      </c>
      <c r="E44" s="7">
        <v>53.576999999999998</v>
      </c>
      <c r="F44" s="7">
        <v>47.866999999999997</v>
      </c>
      <c r="G44" s="7">
        <v>43.241999999999997</v>
      </c>
      <c r="H44" s="7">
        <v>40.229999999999997</v>
      </c>
      <c r="I44" s="7">
        <v>33.292000000000002</v>
      </c>
      <c r="J44" s="7">
        <v>30.106999999999999</v>
      </c>
      <c r="K44" s="7">
        <v>34.121000000000002</v>
      </c>
    </row>
    <row r="45" spans="1:11" ht="15" customHeight="1" outlineLevel="3" x14ac:dyDescent="0.3">
      <c r="A45" s="15" t="s">
        <v>212</v>
      </c>
      <c r="B45" s="9">
        <v>58.32</v>
      </c>
      <c r="C45" s="9">
        <v>65.314999999999998</v>
      </c>
      <c r="D45" s="9">
        <v>67.093999999999994</v>
      </c>
      <c r="E45" s="9">
        <v>53.576999999999998</v>
      </c>
      <c r="F45" s="9">
        <v>47.866999999999997</v>
      </c>
      <c r="G45" s="9">
        <v>43.241999999999997</v>
      </c>
      <c r="H45" s="9">
        <v>40.229999999999997</v>
      </c>
      <c r="I45" s="9">
        <v>33.292000000000002</v>
      </c>
      <c r="J45" s="9">
        <v>30.106999999999999</v>
      </c>
      <c r="K45" s="9">
        <v>34.121000000000002</v>
      </c>
    </row>
    <row r="46" spans="1:11" ht="15" customHeight="1" outlineLevel="2" x14ac:dyDescent="0.3">
      <c r="A46" s="10" t="s">
        <v>213</v>
      </c>
      <c r="B46" s="11">
        <v>176.392</v>
      </c>
      <c r="C46" s="11">
        <v>145.30799999999999</v>
      </c>
      <c r="D46" s="11">
        <v>153.982</v>
      </c>
      <c r="E46" s="11">
        <v>125.48099999999999</v>
      </c>
      <c r="F46" s="11">
        <v>105.392</v>
      </c>
      <c r="G46" s="11">
        <v>105.718</v>
      </c>
      <c r="H46" s="11">
        <v>116.866</v>
      </c>
      <c r="I46" s="11">
        <v>100.81399999999999</v>
      </c>
      <c r="J46" s="11">
        <v>79.006</v>
      </c>
      <c r="K46" s="11">
        <v>80.61</v>
      </c>
    </row>
    <row r="47" spans="1:11" ht="15" customHeight="1" outlineLevel="1" x14ac:dyDescent="0.3">
      <c r="A47" s="12" t="s">
        <v>214</v>
      </c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ht="15" customHeight="1" outlineLevel="2" x14ac:dyDescent="0.3">
      <c r="A48" s="14" t="s">
        <v>215</v>
      </c>
      <c r="B48" s="7">
        <v>96.548000000000002</v>
      </c>
      <c r="C48" s="7">
        <v>106.548</v>
      </c>
      <c r="D48" s="7">
        <v>109.70699999999999</v>
      </c>
      <c r="E48" s="7">
        <v>119.381</v>
      </c>
      <c r="F48" s="7">
        <v>107.04900000000001</v>
      </c>
      <c r="G48" s="7">
        <v>91.807000000000002</v>
      </c>
      <c r="H48" s="7">
        <v>93.734999999999999</v>
      </c>
      <c r="I48" s="7">
        <v>97.206999999999994</v>
      </c>
      <c r="J48" s="7">
        <v>75.427000000000007</v>
      </c>
      <c r="K48" s="7">
        <v>53.463000000000001</v>
      </c>
    </row>
    <row r="49" spans="1:11" ht="15" customHeight="1" outlineLevel="3" x14ac:dyDescent="0.3">
      <c r="A49" s="15" t="s">
        <v>216</v>
      </c>
      <c r="B49" s="9">
        <v>85.75</v>
      </c>
      <c r="C49" s="9">
        <v>95.281000000000006</v>
      </c>
      <c r="D49" s="9">
        <v>98.959000000000003</v>
      </c>
      <c r="E49" s="9">
        <v>109.10599999999999</v>
      </c>
      <c r="F49" s="9">
        <v>98.667000000000002</v>
      </c>
      <c r="G49" s="9">
        <v>91.807000000000002</v>
      </c>
      <c r="H49" s="9">
        <v>93.734999999999999</v>
      </c>
      <c r="I49" s="9">
        <v>97.206999999999994</v>
      </c>
      <c r="J49" s="9">
        <v>75.427000000000007</v>
      </c>
      <c r="K49" s="9">
        <v>53.463000000000001</v>
      </c>
    </row>
    <row r="50" spans="1:11" ht="15" customHeight="1" outlineLevel="3" x14ac:dyDescent="0.3">
      <c r="A50" s="16" t="s">
        <v>217</v>
      </c>
      <c r="B50" s="11">
        <v>10.798</v>
      </c>
      <c r="C50" s="11">
        <v>11.266999999999999</v>
      </c>
      <c r="D50" s="11">
        <v>10.747999999999999</v>
      </c>
      <c r="E50" s="11">
        <v>10.275</v>
      </c>
      <c r="F50" s="11">
        <v>8.3819999999999997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</row>
    <row r="51" spans="1:11" ht="15" customHeight="1" outlineLevel="2" x14ac:dyDescent="0.3">
      <c r="A51" s="8" t="s">
        <v>218</v>
      </c>
      <c r="B51" s="9">
        <v>9.2539999999999996</v>
      </c>
      <c r="C51" s="9">
        <v>15.457000000000001</v>
      </c>
      <c r="D51" s="9">
        <v>16.657</v>
      </c>
      <c r="E51" s="9">
        <v>24.689</v>
      </c>
      <c r="F51" s="9">
        <v>28.17</v>
      </c>
      <c r="G51" s="9">
        <v>29.545000000000002</v>
      </c>
      <c r="H51" s="9">
        <v>33.588999999999999</v>
      </c>
      <c r="I51" s="9">
        <v>0</v>
      </c>
      <c r="J51" s="9">
        <v>0</v>
      </c>
      <c r="K51" s="9">
        <v>0</v>
      </c>
    </row>
    <row r="52" spans="1:11" ht="15" customHeight="1" outlineLevel="2" x14ac:dyDescent="0.3">
      <c r="A52" s="10" t="s">
        <v>219</v>
      </c>
      <c r="B52" s="17"/>
      <c r="C52" s="11">
        <v>19.454000000000001</v>
      </c>
      <c r="D52" s="11">
        <v>16.757999999999999</v>
      </c>
      <c r="E52" s="11">
        <v>16.977</v>
      </c>
      <c r="F52" s="11">
        <v>17.875</v>
      </c>
      <c r="G52" s="11">
        <v>16.919</v>
      </c>
      <c r="H52" s="11">
        <v>11.52</v>
      </c>
      <c r="I52" s="11">
        <v>39.911000000000001</v>
      </c>
      <c r="J52" s="11">
        <v>34.719000000000001</v>
      </c>
      <c r="K52" s="11">
        <v>32.262</v>
      </c>
    </row>
    <row r="53" spans="1:11" ht="15" customHeight="1" outlineLevel="2" x14ac:dyDescent="0.3">
      <c r="A53" s="23" t="s">
        <v>220</v>
      </c>
      <c r="B53" s="13">
        <v>25.835999999999999</v>
      </c>
      <c r="C53" s="13">
        <v>3.67</v>
      </c>
      <c r="D53" s="13">
        <v>4.9790000000000001</v>
      </c>
      <c r="E53" s="13">
        <v>1.3839999999999999</v>
      </c>
      <c r="F53" s="13">
        <v>6.3E-2</v>
      </c>
      <c r="G53" s="13">
        <v>4.0389999999999997</v>
      </c>
      <c r="H53" s="13">
        <v>2.8679999999999999</v>
      </c>
      <c r="I53" s="13">
        <v>3.34</v>
      </c>
      <c r="J53" s="13">
        <v>4.2850000000000001</v>
      </c>
      <c r="K53" s="13">
        <v>4.7889999999999997</v>
      </c>
    </row>
    <row r="54" spans="1:11" ht="15" customHeight="1" outlineLevel="3" x14ac:dyDescent="0.3">
      <c r="A54" s="16" t="s">
        <v>221</v>
      </c>
      <c r="B54" s="11">
        <v>25.835999999999999</v>
      </c>
      <c r="C54" s="11">
        <v>3.67</v>
      </c>
      <c r="D54" s="11">
        <v>4.9790000000000001</v>
      </c>
      <c r="E54" s="11">
        <v>1.3839999999999999</v>
      </c>
      <c r="F54" s="11">
        <v>6.3E-2</v>
      </c>
      <c r="G54" s="11">
        <v>4.0389999999999997</v>
      </c>
      <c r="H54" s="11">
        <v>7.0999999999999994E-2</v>
      </c>
      <c r="I54" s="11">
        <v>0.504</v>
      </c>
      <c r="J54" s="11">
        <v>1.355</v>
      </c>
      <c r="K54" s="11">
        <v>1.165</v>
      </c>
    </row>
    <row r="55" spans="1:11" ht="15" customHeight="1" outlineLevel="3" x14ac:dyDescent="0.3">
      <c r="A55" s="15" t="s">
        <v>222</v>
      </c>
      <c r="B55" s="22"/>
      <c r="C55" s="22"/>
      <c r="D55" s="22"/>
      <c r="E55" s="22"/>
      <c r="F55" s="22"/>
      <c r="G55" s="22"/>
      <c r="H55" s="9">
        <v>2.7970000000000002</v>
      </c>
      <c r="I55" s="9">
        <v>2.8359999999999999</v>
      </c>
      <c r="J55" s="9">
        <v>2.93</v>
      </c>
      <c r="K55" s="9">
        <v>3.6240000000000001</v>
      </c>
    </row>
    <row r="56" spans="1:11" ht="15" customHeight="1" outlineLevel="2" x14ac:dyDescent="0.3">
      <c r="A56" s="10" t="s">
        <v>223</v>
      </c>
      <c r="B56" s="11">
        <v>308.02999999999997</v>
      </c>
      <c r="C56" s="11">
        <v>290.43700000000001</v>
      </c>
      <c r="D56" s="11">
        <v>302.08300000000003</v>
      </c>
      <c r="E56" s="11">
        <v>287.91199999999998</v>
      </c>
      <c r="F56" s="11">
        <v>258.54899999999998</v>
      </c>
      <c r="G56" s="11">
        <v>248.02799999999999</v>
      </c>
      <c r="H56" s="11">
        <v>258.57799999999997</v>
      </c>
      <c r="I56" s="11">
        <v>241.27199999999999</v>
      </c>
      <c r="J56" s="11">
        <v>193.43700000000001</v>
      </c>
      <c r="K56" s="11">
        <v>171.124</v>
      </c>
    </row>
    <row r="57" spans="1:11" ht="15" customHeight="1" outlineLevel="1" x14ac:dyDescent="0.3">
      <c r="A57" s="12" t="s">
        <v>224</v>
      </c>
      <c r="B57" s="5"/>
      <c r="C57" s="5"/>
      <c r="D57" s="5"/>
      <c r="E57" s="5"/>
      <c r="F57" s="5"/>
      <c r="G57" s="5"/>
      <c r="H57" s="5"/>
      <c r="I57" s="5"/>
      <c r="J57" s="5"/>
      <c r="K57" s="5"/>
    </row>
    <row r="58" spans="1:11" ht="15" customHeight="1" outlineLevel="2" x14ac:dyDescent="0.3">
      <c r="A58" s="14" t="s">
        <v>225</v>
      </c>
      <c r="B58" s="7">
        <v>56.95</v>
      </c>
      <c r="C58" s="7">
        <v>62.146000000000001</v>
      </c>
      <c r="D58" s="7">
        <v>50.671999999999997</v>
      </c>
      <c r="E58" s="7">
        <v>63.09</v>
      </c>
      <c r="F58" s="7">
        <v>65.338999999999999</v>
      </c>
      <c r="G58" s="7">
        <v>90.488</v>
      </c>
      <c r="H58" s="7">
        <v>107.14700000000001</v>
      </c>
      <c r="I58" s="7">
        <v>134.047</v>
      </c>
      <c r="J58" s="7">
        <v>128.249</v>
      </c>
      <c r="K58" s="7">
        <v>119.355</v>
      </c>
    </row>
    <row r="59" spans="1:11" ht="15" customHeight="1" outlineLevel="3" x14ac:dyDescent="0.3">
      <c r="A59" s="15" t="s">
        <v>226</v>
      </c>
      <c r="B59" s="9">
        <v>83.275999999999996</v>
      </c>
      <c r="C59" s="9">
        <v>73.811999999999998</v>
      </c>
      <c r="D59" s="9">
        <v>64.849000000000004</v>
      </c>
      <c r="E59" s="9">
        <v>57.365000000000002</v>
      </c>
      <c r="F59" s="9">
        <v>50.779000000000003</v>
      </c>
      <c r="G59" s="9">
        <v>45.173999999999999</v>
      </c>
      <c r="H59" s="9">
        <v>40.201000000000001</v>
      </c>
      <c r="I59" s="9">
        <v>35.866999999999997</v>
      </c>
      <c r="J59" s="9">
        <v>31.251000000000001</v>
      </c>
      <c r="K59" s="9">
        <v>27.416</v>
      </c>
    </row>
    <row r="60" spans="1:11" ht="15" customHeight="1" outlineLevel="3" x14ac:dyDescent="0.3">
      <c r="A60" s="16" t="s">
        <v>227</v>
      </c>
      <c r="B60" s="18">
        <v>-19.154</v>
      </c>
      <c r="C60" s="18">
        <v>-0.214</v>
      </c>
      <c r="D60" s="18">
        <v>-3.0680000000000001</v>
      </c>
      <c r="E60" s="11">
        <v>5.5620000000000003</v>
      </c>
      <c r="F60" s="11">
        <v>14.965999999999999</v>
      </c>
      <c r="G60" s="11">
        <v>45.898000000000003</v>
      </c>
      <c r="H60" s="11">
        <v>70.400000000000006</v>
      </c>
      <c r="I60" s="11">
        <v>98.33</v>
      </c>
      <c r="J60" s="11">
        <v>96.364000000000004</v>
      </c>
      <c r="K60" s="11">
        <v>92.284000000000006</v>
      </c>
    </row>
    <row r="61" spans="1:11" ht="15" customHeight="1" outlineLevel="3" x14ac:dyDescent="0.3">
      <c r="A61" s="15" t="s">
        <v>228</v>
      </c>
      <c r="B61" s="22"/>
      <c r="C61" s="22"/>
      <c r="D61" s="22"/>
      <c r="E61" s="22"/>
      <c r="F61" s="24">
        <v>-1.375</v>
      </c>
      <c r="G61" s="24">
        <v>-1.4630000000000001</v>
      </c>
      <c r="H61" s="24">
        <v>-1.0549999999999999</v>
      </c>
      <c r="I61" s="24">
        <v>-0.35399999999999998</v>
      </c>
      <c r="J61" s="24">
        <v>-0.57799999999999996</v>
      </c>
      <c r="K61" s="24">
        <v>-0.65300000000000002</v>
      </c>
    </row>
    <row r="62" spans="1:11" ht="15" customHeight="1" outlineLevel="3" x14ac:dyDescent="0.3">
      <c r="A62" s="16" t="s">
        <v>229</v>
      </c>
      <c r="B62" s="11">
        <v>0</v>
      </c>
      <c r="C62" s="11">
        <v>0</v>
      </c>
      <c r="D62" s="11">
        <v>0</v>
      </c>
      <c r="E62" s="11">
        <v>0</v>
      </c>
      <c r="F62" s="11">
        <v>1.8460000000000001</v>
      </c>
      <c r="G62" s="11">
        <v>0.70699999999999996</v>
      </c>
      <c r="H62" s="18">
        <v>-3.2090000000000001</v>
      </c>
      <c r="I62" s="11">
        <v>0.32800000000000001</v>
      </c>
      <c r="J62" s="11">
        <v>1.1739999999999999</v>
      </c>
      <c r="K62" s="18">
        <v>-0.46400000000000002</v>
      </c>
    </row>
    <row r="63" spans="1:11" ht="15" customHeight="1" outlineLevel="3" x14ac:dyDescent="0.3">
      <c r="A63" s="15" t="s">
        <v>230</v>
      </c>
      <c r="B63" s="24">
        <v>-7.1719999999999997</v>
      </c>
      <c r="C63" s="24">
        <v>-11.452</v>
      </c>
      <c r="D63" s="24">
        <v>-11.109</v>
      </c>
      <c r="E63" s="9">
        <v>0.16300000000000001</v>
      </c>
      <c r="F63" s="24">
        <v>-0.877</v>
      </c>
      <c r="G63" s="9">
        <v>0.17199999999999999</v>
      </c>
      <c r="H63" s="9">
        <v>0.81</v>
      </c>
      <c r="I63" s="24">
        <v>-0.124</v>
      </c>
      <c r="J63" s="9">
        <v>3.7999999999999999E-2</v>
      </c>
      <c r="K63" s="9">
        <v>0.77200000000000002</v>
      </c>
    </row>
    <row r="64" spans="1:11" ht="15" customHeight="1" outlineLevel="2" x14ac:dyDescent="0.3">
      <c r="A64" s="10" t="s">
        <v>231</v>
      </c>
      <c r="B64" s="11">
        <v>56.95</v>
      </c>
      <c r="C64" s="11">
        <v>62.146000000000001</v>
      </c>
      <c r="D64" s="11">
        <v>50.671999999999997</v>
      </c>
      <c r="E64" s="11">
        <v>63.09</v>
      </c>
      <c r="F64" s="11">
        <v>65.338999999999999</v>
      </c>
      <c r="G64" s="11">
        <v>90.488</v>
      </c>
      <c r="H64" s="11">
        <v>107.14700000000001</v>
      </c>
      <c r="I64" s="11">
        <v>134.047</v>
      </c>
      <c r="J64" s="11">
        <v>128.249</v>
      </c>
      <c r="K64" s="11">
        <v>119.355</v>
      </c>
    </row>
    <row r="65" spans="1:11" ht="15" customHeight="1" outlineLevel="2" x14ac:dyDescent="0.3">
      <c r="A65" s="8" t="s">
        <v>232</v>
      </c>
      <c r="B65" s="9">
        <v>56.95</v>
      </c>
      <c r="C65" s="9">
        <v>62.146000000000001</v>
      </c>
      <c r="D65" s="9">
        <v>50.671999999999997</v>
      </c>
      <c r="E65" s="9">
        <v>63.09</v>
      </c>
      <c r="F65" s="9">
        <v>65.338999999999999</v>
      </c>
      <c r="G65" s="9">
        <v>90.488</v>
      </c>
      <c r="H65" s="9">
        <v>107.14700000000001</v>
      </c>
      <c r="I65" s="9">
        <v>134.047</v>
      </c>
      <c r="J65" s="9">
        <v>128.249</v>
      </c>
      <c r="K65" s="9">
        <v>119.355</v>
      </c>
    </row>
    <row r="66" spans="1:11" ht="15" customHeight="1" outlineLevel="1" x14ac:dyDescent="0.3">
      <c r="A66" s="19" t="s">
        <v>233</v>
      </c>
      <c r="B66" s="11">
        <v>364.98</v>
      </c>
      <c r="C66" s="11">
        <v>352.58300000000003</v>
      </c>
      <c r="D66" s="11">
        <v>352.755</v>
      </c>
      <c r="E66" s="11">
        <v>351.00200000000001</v>
      </c>
      <c r="F66" s="11">
        <v>323.88799999999998</v>
      </c>
      <c r="G66" s="11">
        <v>338.51600000000002</v>
      </c>
      <c r="H66" s="11">
        <v>365.72500000000002</v>
      </c>
      <c r="I66" s="11">
        <v>375.31900000000002</v>
      </c>
      <c r="J66" s="11">
        <v>321.68599999999998</v>
      </c>
      <c r="K66" s="11">
        <v>290.47899999999998</v>
      </c>
    </row>
    <row r="67" spans="1:11" ht="15" customHeight="1" x14ac:dyDescent="0.3">
      <c r="A67" s="5" t="s">
        <v>165</v>
      </c>
      <c r="B67" s="5"/>
      <c r="C67" s="5"/>
      <c r="D67" s="5"/>
      <c r="E67" s="5"/>
      <c r="F67" s="5"/>
      <c r="G67" s="5"/>
      <c r="H67" s="5"/>
      <c r="I67" s="5"/>
      <c r="J67" s="5"/>
      <c r="K67" s="5"/>
    </row>
    <row r="68" spans="1:11" ht="15" customHeight="1" outlineLevel="1" x14ac:dyDescent="0.3">
      <c r="A68" s="19" t="s">
        <v>234</v>
      </c>
      <c r="B68" s="11">
        <v>3.7673399999999999</v>
      </c>
      <c r="C68" s="11">
        <v>3.9965099999999998</v>
      </c>
      <c r="D68" s="11">
        <v>3.1782400000000002</v>
      </c>
      <c r="E68" s="11">
        <v>3.8406799999999999</v>
      </c>
      <c r="F68" s="11">
        <v>3.8487300000000002</v>
      </c>
      <c r="G68" s="11">
        <v>5.0913300000000001</v>
      </c>
      <c r="H68" s="11">
        <v>5.6334</v>
      </c>
      <c r="I68" s="11">
        <v>6.53735</v>
      </c>
      <c r="J68" s="11">
        <v>6.0084799999999996</v>
      </c>
      <c r="K68" s="11">
        <v>5.3486399999999996</v>
      </c>
    </row>
    <row r="69" spans="1:11" ht="15" customHeight="1" outlineLevel="1" x14ac:dyDescent="0.3">
      <c r="A69" s="21" t="s">
        <v>235</v>
      </c>
      <c r="B69" s="9">
        <v>3.7673350000000001</v>
      </c>
      <c r="C69" s="9">
        <v>3.9965120000000001</v>
      </c>
      <c r="D69" s="9">
        <v>3.1782379999999999</v>
      </c>
      <c r="E69" s="9">
        <v>3.840678</v>
      </c>
      <c r="F69" s="9">
        <v>3.8487309999999999</v>
      </c>
      <c r="G69" s="9">
        <v>5.0913339999999998</v>
      </c>
      <c r="H69" s="9">
        <v>5.6334020000000002</v>
      </c>
      <c r="I69" s="9">
        <v>6.1464619999999996</v>
      </c>
      <c r="J69" s="9">
        <v>5.6046329999999998</v>
      </c>
      <c r="K69" s="9">
        <v>4.944922</v>
      </c>
    </row>
    <row r="70" spans="1:11" ht="15" customHeight="1" x14ac:dyDescent="0.3">
      <c r="A70" s="25" t="s">
        <v>236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34533-4691-431B-9116-2363AC8FBB29}">
  <dimension ref="A1:L59"/>
  <sheetViews>
    <sheetView topLeftCell="C6" workbookViewId="0">
      <selection activeCell="L27" sqref="L27"/>
    </sheetView>
  </sheetViews>
  <sheetFormatPr defaultColWidth="9.109375" defaultRowHeight="14.4" outlineLevelRow="3" x14ac:dyDescent="0.3"/>
  <cols>
    <col min="1" max="1" width="53.109375" customWidth="1"/>
    <col min="2" max="11" width="8" customWidth="1"/>
    <col min="12" max="12" width="12.44140625" customWidth="1"/>
  </cols>
  <sheetData>
    <row r="1" spans="1:11" ht="15" customHeight="1" x14ac:dyDescent="0.3">
      <c r="A1" s="1" t="s">
        <v>48</v>
      </c>
    </row>
    <row r="2" spans="1:11" ht="15" customHeight="1" x14ac:dyDescent="0.3">
      <c r="A2" s="2" t="s">
        <v>49</v>
      </c>
    </row>
    <row r="3" spans="1:11" ht="15" customHeigh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ht="15" customHeight="1" x14ac:dyDescent="0.3"/>
    <row r="5" spans="1:11" ht="15" customHeight="1" x14ac:dyDescent="0.3">
      <c r="A5" s="4" t="s">
        <v>120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" customHeight="1" x14ac:dyDescent="0.3">
      <c r="A6" s="4" t="s">
        <v>121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" customHeight="1" x14ac:dyDescent="0.3">
      <c r="A7" s="4" t="s">
        <v>122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5" customHeight="1" x14ac:dyDescent="0.3">
      <c r="A8" s="4"/>
      <c r="B8" s="4" t="s">
        <v>123</v>
      </c>
      <c r="C8" s="4" t="s">
        <v>124</v>
      </c>
      <c r="D8" s="4" t="s">
        <v>125</v>
      </c>
      <c r="E8" s="4" t="s">
        <v>126</v>
      </c>
      <c r="F8" s="4" t="s">
        <v>127</v>
      </c>
      <c r="G8" s="4" t="s">
        <v>128</v>
      </c>
      <c r="H8" s="4" t="s">
        <v>129</v>
      </c>
      <c r="I8" s="4" t="s">
        <v>130</v>
      </c>
      <c r="J8" s="4" t="s">
        <v>131</v>
      </c>
      <c r="K8" s="4" t="s">
        <v>132</v>
      </c>
    </row>
    <row r="9" spans="1:11" ht="15" customHeight="1" x14ac:dyDescent="0.3">
      <c r="A9" s="4"/>
      <c r="B9" s="4"/>
      <c r="C9" s="4"/>
      <c r="D9" s="4"/>
      <c r="E9" s="4"/>
      <c r="F9" s="4"/>
      <c r="G9" s="4"/>
      <c r="H9" s="4"/>
      <c r="I9" s="4"/>
      <c r="J9" s="4"/>
      <c r="K9" s="4"/>
    </row>
    <row r="10" spans="1:11" ht="15" customHeight="1" x14ac:dyDescent="0.3">
      <c r="A10" s="20" t="s">
        <v>237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</row>
    <row r="11" spans="1:11" ht="15" customHeight="1" outlineLevel="1" x14ac:dyDescent="0.3">
      <c r="A11" s="21" t="s">
        <v>238</v>
      </c>
      <c r="B11" s="9">
        <v>93.736000000000004</v>
      </c>
      <c r="C11" s="9">
        <v>96.995000000000005</v>
      </c>
      <c r="D11" s="9">
        <v>99.802999999999997</v>
      </c>
      <c r="E11" s="9">
        <v>94.68</v>
      </c>
      <c r="F11" s="9">
        <v>57.411000000000001</v>
      </c>
      <c r="G11" s="9">
        <v>55.256</v>
      </c>
      <c r="H11" s="9">
        <v>59.530999999999999</v>
      </c>
      <c r="I11" s="9">
        <v>48.350999999999999</v>
      </c>
      <c r="J11" s="9">
        <v>45.686999999999998</v>
      </c>
      <c r="K11" s="9">
        <v>53.393999999999998</v>
      </c>
    </row>
    <row r="12" spans="1:11" ht="15" customHeight="1" outlineLevel="1" x14ac:dyDescent="0.3">
      <c r="A12" s="6" t="s">
        <v>239</v>
      </c>
      <c r="B12" s="7">
        <v>11.445</v>
      </c>
      <c r="C12" s="7">
        <v>11.519</v>
      </c>
      <c r="D12" s="7">
        <v>11.103999999999999</v>
      </c>
      <c r="E12" s="7">
        <v>11.284000000000001</v>
      </c>
      <c r="F12" s="7">
        <v>11.055999999999999</v>
      </c>
      <c r="G12" s="7">
        <v>12.547000000000001</v>
      </c>
      <c r="H12" s="7">
        <v>10.903</v>
      </c>
      <c r="I12" s="7">
        <v>10.157</v>
      </c>
      <c r="J12" s="7">
        <v>10.505000000000001</v>
      </c>
      <c r="K12" s="7">
        <v>11.257</v>
      </c>
    </row>
    <row r="13" spans="1:11" ht="15" customHeight="1" outlineLevel="2" x14ac:dyDescent="0.3">
      <c r="A13" s="8" t="s">
        <v>240</v>
      </c>
      <c r="B13" s="9">
        <v>8.1999999999999993</v>
      </c>
      <c r="C13" s="9">
        <v>8.5</v>
      </c>
      <c r="D13" s="9">
        <v>8.6999999999999993</v>
      </c>
      <c r="E13" s="9">
        <v>9.5</v>
      </c>
      <c r="F13" s="9">
        <v>9.6999999999999993</v>
      </c>
      <c r="G13" s="9">
        <v>11.3</v>
      </c>
      <c r="H13" s="9">
        <v>9.3000000000000007</v>
      </c>
      <c r="I13" s="9">
        <v>8.1999999999999993</v>
      </c>
      <c r="J13" s="22"/>
      <c r="K13" s="22"/>
    </row>
    <row r="14" spans="1:11" ht="15" customHeight="1" outlineLevel="2" x14ac:dyDescent="0.3">
      <c r="A14" s="10" t="s">
        <v>241</v>
      </c>
      <c r="B14" s="11">
        <v>3.2450000000000001</v>
      </c>
      <c r="C14" s="11">
        <v>3.0190000000000001</v>
      </c>
      <c r="D14" s="11">
        <v>2.4039999999999999</v>
      </c>
      <c r="E14" s="11">
        <v>1.784</v>
      </c>
      <c r="F14" s="11">
        <v>1.3560000000000001</v>
      </c>
      <c r="G14" s="11">
        <v>1.2470000000000001</v>
      </c>
      <c r="H14" s="11">
        <v>1.603</v>
      </c>
      <c r="I14" s="11">
        <v>1.9570000000000001</v>
      </c>
      <c r="J14" s="17"/>
      <c r="K14" s="17"/>
    </row>
    <row r="15" spans="1:11" ht="15" customHeight="1" outlineLevel="1" x14ac:dyDescent="0.3">
      <c r="A15" s="12" t="s">
        <v>242</v>
      </c>
      <c r="B15" s="13">
        <v>0</v>
      </c>
      <c r="C15" s="13">
        <v>0</v>
      </c>
      <c r="D15" s="13">
        <v>0.89500000000000002</v>
      </c>
      <c r="E15" s="13">
        <v>-4.774</v>
      </c>
      <c r="F15" s="13">
        <v>-0.215</v>
      </c>
      <c r="G15" s="13">
        <v>-0.34</v>
      </c>
      <c r="H15" s="13">
        <v>-32.590000000000003</v>
      </c>
      <c r="I15" s="13">
        <v>5.9660000000000002</v>
      </c>
      <c r="J15" s="13">
        <v>4.9379999999999997</v>
      </c>
      <c r="K15" s="13">
        <v>1.3819999999999999</v>
      </c>
    </row>
    <row r="16" spans="1:11" ht="15" customHeight="1" outlineLevel="2" x14ac:dyDescent="0.3">
      <c r="A16" s="10" t="s">
        <v>243</v>
      </c>
      <c r="B16" s="11">
        <v>0</v>
      </c>
      <c r="C16" s="11">
        <v>0</v>
      </c>
      <c r="D16" s="11">
        <v>0.89500000000000002</v>
      </c>
      <c r="E16" s="18">
        <v>-4.774</v>
      </c>
      <c r="F16" s="18">
        <v>-0.215</v>
      </c>
      <c r="G16" s="18">
        <v>-0.34</v>
      </c>
      <c r="H16" s="18">
        <v>-32.590000000000003</v>
      </c>
      <c r="I16" s="11">
        <v>5.9660000000000002</v>
      </c>
      <c r="J16" s="11">
        <v>4.9379999999999997</v>
      </c>
      <c r="K16" s="11">
        <v>1.3819999999999999</v>
      </c>
    </row>
    <row r="17" spans="1:12" ht="15" customHeight="1" outlineLevel="1" x14ac:dyDescent="0.3">
      <c r="A17" s="21" t="s">
        <v>244</v>
      </c>
      <c r="B17" s="9">
        <v>9.4220000000000006</v>
      </c>
      <c r="C17" s="9">
        <v>8.6059999999999999</v>
      </c>
      <c r="D17" s="9">
        <v>9.1489999999999991</v>
      </c>
      <c r="E17" s="9">
        <v>7.7590000000000003</v>
      </c>
      <c r="F17" s="9">
        <v>6.7320000000000002</v>
      </c>
      <c r="G17" s="9">
        <v>5.4160000000000004</v>
      </c>
      <c r="H17" s="9">
        <v>4.8959999999999999</v>
      </c>
      <c r="I17" s="9">
        <v>4.6740000000000004</v>
      </c>
      <c r="J17" s="9">
        <v>4.21</v>
      </c>
      <c r="K17" s="9">
        <v>3.5859999999999999</v>
      </c>
    </row>
    <row r="18" spans="1:12" ht="15" customHeight="1" outlineLevel="1" x14ac:dyDescent="0.3">
      <c r="A18" s="19" t="s">
        <v>245</v>
      </c>
      <c r="B18" s="11">
        <v>114.60299999999999</v>
      </c>
      <c r="C18" s="11">
        <v>117.12</v>
      </c>
      <c r="D18" s="11">
        <v>120.95099999999999</v>
      </c>
      <c r="E18" s="11">
        <v>108.949</v>
      </c>
      <c r="F18" s="11">
        <v>74.983999999999995</v>
      </c>
      <c r="G18" s="11">
        <v>72.879000000000005</v>
      </c>
      <c r="H18" s="11">
        <v>42.74</v>
      </c>
      <c r="I18" s="11">
        <v>69.147999999999996</v>
      </c>
      <c r="J18" s="11">
        <v>65.34</v>
      </c>
      <c r="K18" s="11">
        <v>69.619</v>
      </c>
    </row>
    <row r="19" spans="1:12" ht="15" customHeight="1" outlineLevel="1" x14ac:dyDescent="0.3">
      <c r="A19" s="12" t="s">
        <v>246</v>
      </c>
      <c r="B19" s="13">
        <v>3.6509999999999998</v>
      </c>
      <c r="C19" s="13">
        <v>-6.577</v>
      </c>
      <c r="D19" s="13">
        <v>1.2</v>
      </c>
      <c r="E19" s="13">
        <v>-4.9109999999999996</v>
      </c>
      <c r="F19" s="13">
        <v>5.69</v>
      </c>
      <c r="G19" s="13">
        <v>-3.488</v>
      </c>
      <c r="H19" s="13">
        <v>34.694000000000003</v>
      </c>
      <c r="I19" s="13">
        <v>-5.55</v>
      </c>
      <c r="J19" s="13">
        <v>0.48399999999999999</v>
      </c>
      <c r="K19" s="13">
        <v>11.647</v>
      </c>
    </row>
    <row r="20" spans="1:12" ht="15" customHeight="1" outlineLevel="2" x14ac:dyDescent="0.3">
      <c r="A20" s="10" t="s">
        <v>247</v>
      </c>
      <c r="B20" s="18">
        <v>-5.1440000000000001</v>
      </c>
      <c r="C20" s="18">
        <v>-0.41699999999999998</v>
      </c>
      <c r="D20" s="18">
        <v>-9.343</v>
      </c>
      <c r="E20" s="18">
        <v>-14.028</v>
      </c>
      <c r="F20" s="11">
        <v>8.4700000000000006</v>
      </c>
      <c r="G20" s="11">
        <v>3.1760000000000002</v>
      </c>
      <c r="H20" s="18">
        <v>-13.332000000000001</v>
      </c>
      <c r="I20" s="18">
        <v>-6.3470000000000004</v>
      </c>
      <c r="J20" s="11">
        <v>1.044</v>
      </c>
      <c r="K20" s="18">
        <v>-3.1240000000000001</v>
      </c>
    </row>
    <row r="21" spans="1:12" ht="15" customHeight="1" outlineLevel="2" x14ac:dyDescent="0.3">
      <c r="A21" s="8" t="s">
        <v>185</v>
      </c>
      <c r="B21" s="24">
        <v>-1.046</v>
      </c>
      <c r="C21" s="24">
        <v>-1.6180000000000001</v>
      </c>
      <c r="D21" s="9">
        <v>1.484</v>
      </c>
      <c r="E21" s="24">
        <v>-2.6419999999999999</v>
      </c>
      <c r="F21" s="24">
        <v>-0.127</v>
      </c>
      <c r="G21" s="24">
        <v>-0.28899999999999998</v>
      </c>
      <c r="H21" s="9">
        <v>0.82799999999999996</v>
      </c>
      <c r="I21" s="24">
        <v>-2.7229999999999999</v>
      </c>
      <c r="J21" s="9">
        <v>0.217</v>
      </c>
      <c r="K21" s="24">
        <v>-0.23799999999999999</v>
      </c>
    </row>
    <row r="22" spans="1:12" ht="15" customHeight="1" outlineLevel="2" x14ac:dyDescent="0.3">
      <c r="A22" s="10" t="s">
        <v>209</v>
      </c>
      <c r="B22" s="11">
        <v>6.02</v>
      </c>
      <c r="C22" s="18">
        <v>-1.889</v>
      </c>
      <c r="D22" s="11">
        <v>9.4480000000000004</v>
      </c>
      <c r="E22" s="11">
        <v>12.326000000000001</v>
      </c>
      <c r="F22" s="18">
        <v>-4.0620000000000003</v>
      </c>
      <c r="G22" s="18">
        <v>-1.923</v>
      </c>
      <c r="H22" s="11">
        <v>9.1750000000000007</v>
      </c>
      <c r="I22" s="11">
        <v>9.6180000000000003</v>
      </c>
      <c r="J22" s="11">
        <v>1.7909999999999999</v>
      </c>
      <c r="K22" s="11">
        <v>5.4</v>
      </c>
    </row>
    <row r="23" spans="1:12" ht="15" customHeight="1" outlineLevel="2" x14ac:dyDescent="0.3">
      <c r="A23" s="8" t="s">
        <v>248</v>
      </c>
      <c r="B23" s="9">
        <v>3.8210000000000002</v>
      </c>
      <c r="C23" s="24">
        <v>-2.653</v>
      </c>
      <c r="D23" s="24">
        <v>-0.38900000000000001</v>
      </c>
      <c r="E23" s="24">
        <v>-0.56699999999999995</v>
      </c>
      <c r="F23" s="9">
        <v>1.409</v>
      </c>
      <c r="G23" s="24">
        <v>-4.452</v>
      </c>
      <c r="H23" s="9">
        <v>38.023000000000003</v>
      </c>
      <c r="I23" s="24">
        <v>-6.0979999999999999</v>
      </c>
      <c r="J23" s="24">
        <v>-2.5680000000000001</v>
      </c>
      <c r="K23" s="9">
        <v>9.609</v>
      </c>
    </row>
    <row r="24" spans="1:12" ht="15" customHeight="1" outlineLevel="1" x14ac:dyDescent="0.3">
      <c r="A24" s="19" t="s">
        <v>249</v>
      </c>
      <c r="B24" s="11">
        <v>118.254</v>
      </c>
      <c r="C24" s="11">
        <v>110.54300000000001</v>
      </c>
      <c r="D24" s="11">
        <v>122.151</v>
      </c>
      <c r="E24" s="11">
        <v>104.038</v>
      </c>
      <c r="F24" s="11">
        <v>80.674000000000007</v>
      </c>
      <c r="G24" s="11">
        <v>69.391000000000005</v>
      </c>
      <c r="H24" s="11">
        <v>77.433999999999997</v>
      </c>
      <c r="I24" s="11">
        <v>63.597999999999999</v>
      </c>
      <c r="J24" s="11">
        <v>65.823999999999998</v>
      </c>
      <c r="K24" s="11">
        <v>81.266000000000005</v>
      </c>
    </row>
    <row r="25" spans="1:12" ht="15" customHeight="1" x14ac:dyDescent="0.3">
      <c r="A25" s="5" t="s">
        <v>250</v>
      </c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2" ht="15" customHeight="1" outlineLevel="1" x14ac:dyDescent="0.3">
      <c r="A26" s="6" t="s">
        <v>251</v>
      </c>
      <c r="B26" s="7">
        <v>-9.4469999999999992</v>
      </c>
      <c r="C26" s="7">
        <v>-10.959</v>
      </c>
      <c r="D26" s="7">
        <v>-10.708</v>
      </c>
      <c r="E26" s="7">
        <v>-11.085000000000001</v>
      </c>
      <c r="F26" s="7">
        <v>-7.3090000000000002</v>
      </c>
      <c r="G26" s="7">
        <v>-10.494999999999999</v>
      </c>
      <c r="H26" s="7">
        <v>-13.313000000000001</v>
      </c>
      <c r="I26" s="7">
        <v>-12.795</v>
      </c>
      <c r="J26" s="7">
        <v>-13.548</v>
      </c>
      <c r="K26" s="7">
        <v>-11.488</v>
      </c>
      <c r="L26" s="6" t="s">
        <v>252</v>
      </c>
    </row>
    <row r="27" spans="1:12" ht="15" customHeight="1" outlineLevel="1" x14ac:dyDescent="0.3">
      <c r="A27" s="6" t="s">
        <v>253</v>
      </c>
      <c r="B27" s="7">
        <f>B26/income!B10</f>
        <v>-2.4158962752694767E-2</v>
      </c>
      <c r="C27" s="7">
        <f>C26/income!C10</f>
        <v>-2.8592300768357747E-2</v>
      </c>
      <c r="D27" s="7">
        <f>D26/income!D10</f>
        <v>-2.7155058732831555E-2</v>
      </c>
      <c r="E27" s="7">
        <f>E26/income!E10</f>
        <v>-3.0302036264033657E-2</v>
      </c>
      <c r="F27" s="7">
        <f>F26/income!F10</f>
        <v>-2.6660587269742846E-2</v>
      </c>
      <c r="G27" s="7">
        <f>G26/income!G10</f>
        <v>-4.0370353274249135E-2</v>
      </c>
      <c r="H27" s="7">
        <f>H26/income!H10</f>
        <v>-5.00848353516999E-2</v>
      </c>
      <c r="I27" s="7">
        <f>I26/income!I10</f>
        <v>-5.5977985055037364E-2</v>
      </c>
      <c r="J27" s="7">
        <f>J26/income!J10</f>
        <v>-6.3241623332368616E-2</v>
      </c>
      <c r="K27" s="7">
        <f>K26/income!K10</f>
        <v>-4.9670749687612148E-2</v>
      </c>
      <c r="L27" s="48">
        <f>AVERAGE(B27:K27)</f>
        <v>-3.9621449248862774E-2</v>
      </c>
    </row>
    <row r="28" spans="1:12" ht="15" customHeight="1" outlineLevel="2" x14ac:dyDescent="0.3">
      <c r="A28" s="8" t="s">
        <v>254</v>
      </c>
      <c r="B28" s="24">
        <v>-9.4469999999999992</v>
      </c>
      <c r="C28" s="24">
        <v>-10.959</v>
      </c>
      <c r="D28" s="24">
        <v>-10.708</v>
      </c>
      <c r="E28" s="24">
        <v>-11.085000000000001</v>
      </c>
      <c r="F28" s="24">
        <v>-7.3090000000000002</v>
      </c>
      <c r="G28" s="24">
        <v>-10.494999999999999</v>
      </c>
      <c r="H28" s="24">
        <v>-13.313000000000001</v>
      </c>
      <c r="I28" s="24">
        <v>-12.451000000000001</v>
      </c>
      <c r="J28" s="24">
        <v>-12.734</v>
      </c>
      <c r="K28" s="24">
        <v>-11.247</v>
      </c>
    </row>
    <row r="29" spans="1:12" ht="15" customHeight="1" outlineLevel="2" x14ac:dyDescent="0.3">
      <c r="A29" s="10" t="s">
        <v>255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8">
        <v>-0.34399999999999997</v>
      </c>
      <c r="J29" s="18">
        <v>-0.81399999999999995</v>
      </c>
      <c r="K29" s="18">
        <v>-0.24099999999999999</v>
      </c>
    </row>
    <row r="30" spans="1:12" ht="15" customHeight="1" outlineLevel="1" x14ac:dyDescent="0.3">
      <c r="A30" s="21" t="s">
        <v>256</v>
      </c>
      <c r="B30" s="9">
        <v>0</v>
      </c>
      <c r="C30" s="9">
        <v>0</v>
      </c>
      <c r="D30" s="24">
        <v>-0.30599999999999999</v>
      </c>
      <c r="E30" s="24">
        <v>-3.3000000000000002E-2</v>
      </c>
      <c r="F30" s="24">
        <v>-1.524</v>
      </c>
      <c r="G30" s="24">
        <v>-0.624</v>
      </c>
      <c r="H30" s="24">
        <v>-0.72099999999999997</v>
      </c>
      <c r="I30" s="24">
        <v>-0.32900000000000001</v>
      </c>
      <c r="J30" s="24">
        <v>-0.29699999999999999</v>
      </c>
      <c r="K30" s="24">
        <v>-0.34300000000000003</v>
      </c>
    </row>
    <row r="31" spans="1:12" ht="15" customHeight="1" outlineLevel="1" x14ac:dyDescent="0.3">
      <c r="A31" s="6" t="s">
        <v>257</v>
      </c>
      <c r="B31" s="7">
        <v>13.69</v>
      </c>
      <c r="C31" s="7">
        <v>16.001000000000001</v>
      </c>
      <c r="D31" s="7">
        <v>-9.56</v>
      </c>
      <c r="E31" s="7">
        <v>-2.819</v>
      </c>
      <c r="F31" s="7">
        <v>5.335</v>
      </c>
      <c r="G31" s="7">
        <v>58.093000000000004</v>
      </c>
      <c r="H31" s="7">
        <v>30.844999999999999</v>
      </c>
      <c r="I31" s="7">
        <v>-33.146999999999998</v>
      </c>
      <c r="J31" s="7">
        <v>-30.634</v>
      </c>
      <c r="K31" s="7">
        <v>-44.417000000000002</v>
      </c>
    </row>
    <row r="32" spans="1:12" ht="15" customHeight="1" outlineLevel="2" x14ac:dyDescent="0.3">
      <c r="A32" s="8" t="s">
        <v>258</v>
      </c>
      <c r="B32" s="9">
        <v>48.655999999999999</v>
      </c>
      <c r="C32" s="9">
        <v>29.513000000000002</v>
      </c>
      <c r="D32" s="9">
        <v>76.923000000000002</v>
      </c>
      <c r="E32" s="9">
        <v>109.68899999999999</v>
      </c>
      <c r="F32" s="9">
        <v>115.148</v>
      </c>
      <c r="G32" s="9">
        <v>40.631</v>
      </c>
      <c r="H32" s="9">
        <v>73.227000000000004</v>
      </c>
      <c r="I32" s="9">
        <v>159.48599999999999</v>
      </c>
      <c r="J32" s="9">
        <v>142.428</v>
      </c>
      <c r="K32" s="9">
        <v>166.40199999999999</v>
      </c>
    </row>
    <row r="33" spans="1:11" ht="15" customHeight="1" outlineLevel="2" x14ac:dyDescent="0.3">
      <c r="A33" s="10" t="s">
        <v>259</v>
      </c>
      <c r="B33" s="11">
        <v>62.345999999999997</v>
      </c>
      <c r="C33" s="11">
        <v>45.514000000000003</v>
      </c>
      <c r="D33" s="11">
        <v>67.363</v>
      </c>
      <c r="E33" s="11">
        <v>106.87</v>
      </c>
      <c r="F33" s="11">
        <v>120.483</v>
      </c>
      <c r="G33" s="11">
        <v>98.724000000000004</v>
      </c>
      <c r="H33" s="11">
        <v>104.072</v>
      </c>
      <c r="I33" s="11">
        <v>126.339</v>
      </c>
      <c r="J33" s="11">
        <v>111.794</v>
      </c>
      <c r="K33" s="11">
        <v>121.985</v>
      </c>
    </row>
    <row r="34" spans="1:11" ht="15" customHeight="1" outlineLevel="1" x14ac:dyDescent="0.3">
      <c r="A34" s="12" t="s">
        <v>244</v>
      </c>
      <c r="B34" s="13">
        <v>-1.3080000000000001</v>
      </c>
      <c r="C34" s="13">
        <v>-1.337</v>
      </c>
      <c r="D34" s="13">
        <v>-1.78</v>
      </c>
      <c r="E34" s="13">
        <v>-0.60799999999999998</v>
      </c>
      <c r="F34" s="13">
        <v>-0.79100000000000004</v>
      </c>
      <c r="G34" s="13">
        <v>-1.0780000000000001</v>
      </c>
      <c r="H34" s="13">
        <v>-0.745</v>
      </c>
      <c r="I34" s="13">
        <v>-0.17499999999999999</v>
      </c>
      <c r="J34" s="13">
        <v>-1.498</v>
      </c>
      <c r="K34" s="13">
        <v>-2.5999999999999999E-2</v>
      </c>
    </row>
    <row r="35" spans="1:11" ht="15" customHeight="1" outlineLevel="2" x14ac:dyDescent="0.3">
      <c r="A35" s="10" t="s">
        <v>260</v>
      </c>
      <c r="B35" s="18">
        <v>-1.3080000000000001</v>
      </c>
      <c r="C35" s="18">
        <v>-1.337</v>
      </c>
      <c r="D35" s="18">
        <v>-1.78</v>
      </c>
      <c r="E35" s="18">
        <v>-0.60799999999999998</v>
      </c>
      <c r="F35" s="18">
        <v>-0.79100000000000004</v>
      </c>
      <c r="G35" s="18">
        <v>-1.0780000000000001</v>
      </c>
      <c r="H35" s="18">
        <v>-0.745</v>
      </c>
      <c r="I35" s="18">
        <v>-0.39500000000000002</v>
      </c>
      <c r="J35" s="18">
        <v>-1.498</v>
      </c>
      <c r="K35" s="18">
        <v>-2.5999999999999999E-2</v>
      </c>
    </row>
    <row r="36" spans="1:11" ht="15" customHeight="1" outlineLevel="2" x14ac:dyDescent="0.3">
      <c r="A36" s="8" t="s">
        <v>261</v>
      </c>
      <c r="B36" s="9">
        <v>0</v>
      </c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0.22</v>
      </c>
      <c r="J36" s="9">
        <v>0</v>
      </c>
      <c r="K36" s="9">
        <v>0</v>
      </c>
    </row>
    <row r="37" spans="1:11" ht="15" customHeight="1" outlineLevel="1" x14ac:dyDescent="0.3">
      <c r="A37" s="19" t="s">
        <v>262</v>
      </c>
      <c r="B37" s="11">
        <v>2.9350000000000001</v>
      </c>
      <c r="C37" s="11">
        <v>3.7050000000000001</v>
      </c>
      <c r="D37" s="18">
        <v>-22.353999999999999</v>
      </c>
      <c r="E37" s="18">
        <v>-14.545</v>
      </c>
      <c r="F37" s="18">
        <v>-4.2889999999999997</v>
      </c>
      <c r="G37" s="11">
        <v>45.896000000000001</v>
      </c>
      <c r="H37" s="11">
        <v>16.065999999999999</v>
      </c>
      <c r="I37" s="18">
        <v>-46.445999999999998</v>
      </c>
      <c r="J37" s="18">
        <v>-45.976999999999997</v>
      </c>
      <c r="K37" s="18">
        <v>-56.274000000000001</v>
      </c>
    </row>
    <row r="38" spans="1:11" ht="15" customHeight="1" x14ac:dyDescent="0.3">
      <c r="A38" s="5" t="s">
        <v>263</v>
      </c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ht="15" customHeight="1" outlineLevel="1" x14ac:dyDescent="0.3">
      <c r="A39" s="6" t="s">
        <v>264</v>
      </c>
      <c r="B39" s="7">
        <v>-15.234</v>
      </c>
      <c r="C39" s="7">
        <v>-15.025</v>
      </c>
      <c r="D39" s="7">
        <v>-14.840999999999999</v>
      </c>
      <c r="E39" s="7">
        <v>-14.467000000000001</v>
      </c>
      <c r="F39" s="7">
        <v>-14.081</v>
      </c>
      <c r="G39" s="7">
        <v>-14.119</v>
      </c>
      <c r="H39" s="7">
        <v>-13.712</v>
      </c>
      <c r="I39" s="7">
        <v>-12.769</v>
      </c>
      <c r="J39" s="7">
        <v>-12.15</v>
      </c>
      <c r="K39" s="7">
        <v>-11.561</v>
      </c>
    </row>
    <row r="40" spans="1:11" ht="15" customHeight="1" outlineLevel="2" x14ac:dyDescent="0.3">
      <c r="A40" s="8" t="s">
        <v>265</v>
      </c>
      <c r="B40" s="24">
        <v>-15.234</v>
      </c>
      <c r="C40" s="24">
        <v>-15.025</v>
      </c>
      <c r="D40" s="24">
        <v>-14.840999999999999</v>
      </c>
      <c r="E40" s="24">
        <v>-14.467000000000001</v>
      </c>
      <c r="F40" s="24">
        <v>-14.081</v>
      </c>
      <c r="G40" s="24">
        <v>-14.119</v>
      </c>
      <c r="H40" s="24">
        <v>-13.712</v>
      </c>
      <c r="I40" s="24">
        <v>-12.769</v>
      </c>
      <c r="J40" s="24">
        <v>-12.15</v>
      </c>
      <c r="K40" s="24">
        <v>-11.561</v>
      </c>
    </row>
    <row r="41" spans="1:11" ht="15" customHeight="1" outlineLevel="1" x14ac:dyDescent="0.3">
      <c r="A41" s="6" t="s">
        <v>266</v>
      </c>
      <c r="B41" s="7">
        <v>-94.948999999999998</v>
      </c>
      <c r="C41" s="7">
        <v>-77.55</v>
      </c>
      <c r="D41" s="7">
        <v>-89.402000000000001</v>
      </c>
      <c r="E41" s="7">
        <v>-84.866</v>
      </c>
      <c r="F41" s="7">
        <v>-71.477999999999994</v>
      </c>
      <c r="G41" s="7">
        <v>-66.116</v>
      </c>
      <c r="H41" s="7">
        <v>-72.069000000000003</v>
      </c>
      <c r="I41" s="7">
        <v>-32.344999999999999</v>
      </c>
      <c r="J41" s="7">
        <v>-29.227</v>
      </c>
      <c r="K41" s="7">
        <v>-34.71</v>
      </c>
    </row>
    <row r="42" spans="1:11" ht="15" customHeight="1" outlineLevel="2" x14ac:dyDescent="0.3">
      <c r="A42" s="8" t="s">
        <v>267</v>
      </c>
      <c r="B42" s="24">
        <v>-94.948999999999998</v>
      </c>
      <c r="C42" s="24">
        <v>-77.55</v>
      </c>
      <c r="D42" s="24">
        <v>-89.402000000000001</v>
      </c>
      <c r="E42" s="24">
        <v>-85.971000000000004</v>
      </c>
      <c r="F42" s="24">
        <v>-72.358000000000004</v>
      </c>
      <c r="G42" s="24">
        <v>-66.897000000000006</v>
      </c>
      <c r="H42" s="24">
        <v>-72.738</v>
      </c>
      <c r="I42" s="24">
        <v>-32.9</v>
      </c>
      <c r="J42" s="24">
        <v>-29.722000000000001</v>
      </c>
      <c r="K42" s="24">
        <v>-35.253</v>
      </c>
    </row>
    <row r="43" spans="1:11" ht="15" customHeight="1" outlineLevel="2" x14ac:dyDescent="0.3">
      <c r="A43" s="14" t="s">
        <v>268</v>
      </c>
      <c r="B43" s="7">
        <v>0</v>
      </c>
      <c r="C43" s="7">
        <v>0</v>
      </c>
      <c r="D43" s="7">
        <v>0</v>
      </c>
      <c r="E43" s="7">
        <v>1.105</v>
      </c>
      <c r="F43" s="7">
        <v>0.88</v>
      </c>
      <c r="G43" s="7">
        <v>0.78100000000000003</v>
      </c>
      <c r="H43" s="7">
        <v>0.66900000000000004</v>
      </c>
      <c r="I43" s="7">
        <v>0.55500000000000005</v>
      </c>
      <c r="J43" s="7">
        <v>0.495</v>
      </c>
      <c r="K43" s="7">
        <v>0.54300000000000004</v>
      </c>
    </row>
    <row r="44" spans="1:11" ht="15" customHeight="1" outlineLevel="3" x14ac:dyDescent="0.3">
      <c r="A44" s="15" t="s">
        <v>269</v>
      </c>
      <c r="B44" s="9">
        <v>0</v>
      </c>
      <c r="C44" s="9">
        <v>0</v>
      </c>
      <c r="D44" s="9">
        <v>0</v>
      </c>
      <c r="E44" s="9">
        <v>1.105</v>
      </c>
      <c r="F44" s="9">
        <v>0.88</v>
      </c>
      <c r="G44" s="9">
        <v>0.78100000000000003</v>
      </c>
      <c r="H44" s="9">
        <v>0.66900000000000004</v>
      </c>
      <c r="I44" s="9">
        <v>0.55500000000000005</v>
      </c>
      <c r="J44" s="9">
        <v>0.495</v>
      </c>
      <c r="K44" s="9">
        <v>0.54300000000000004</v>
      </c>
    </row>
    <row r="45" spans="1:11" ht="15" customHeight="1" outlineLevel="1" x14ac:dyDescent="0.3">
      <c r="A45" s="6" t="s">
        <v>270</v>
      </c>
      <c r="B45" s="7">
        <v>-5.9980000000000002</v>
      </c>
      <c r="C45" s="7">
        <v>-9.9009999999999998</v>
      </c>
      <c r="D45" s="7">
        <v>-0.123</v>
      </c>
      <c r="E45" s="7">
        <v>12.664999999999999</v>
      </c>
      <c r="F45" s="7">
        <v>2.4990000000000001</v>
      </c>
      <c r="G45" s="7">
        <v>-7.819</v>
      </c>
      <c r="H45" s="7">
        <v>0.432</v>
      </c>
      <c r="I45" s="7">
        <v>29.013999999999999</v>
      </c>
      <c r="J45" s="7">
        <v>22.056999999999999</v>
      </c>
      <c r="K45" s="7">
        <v>29.305</v>
      </c>
    </row>
    <row r="46" spans="1:11" ht="15" customHeight="1" outlineLevel="2" x14ac:dyDescent="0.3">
      <c r="A46" s="8" t="s">
        <v>271</v>
      </c>
      <c r="B46" s="9">
        <v>3.96</v>
      </c>
      <c r="C46" s="24">
        <v>-3.9780000000000002</v>
      </c>
      <c r="D46" s="9">
        <v>3.9550000000000001</v>
      </c>
      <c r="E46" s="9">
        <v>1.022</v>
      </c>
      <c r="F46" s="24">
        <v>-0.96299999999999997</v>
      </c>
      <c r="G46" s="24">
        <v>-5.9770000000000003</v>
      </c>
      <c r="H46" s="24">
        <v>-3.6999999999999998E-2</v>
      </c>
      <c r="I46" s="9">
        <v>3.8519999999999999</v>
      </c>
      <c r="J46" s="24">
        <v>-0.39700000000000002</v>
      </c>
      <c r="K46" s="9">
        <v>2.1909999999999998</v>
      </c>
    </row>
    <row r="47" spans="1:11" ht="15" customHeight="1" outlineLevel="2" x14ac:dyDescent="0.3">
      <c r="A47" s="14" t="s">
        <v>272</v>
      </c>
      <c r="B47" s="7">
        <v>-9.9580000000000002</v>
      </c>
      <c r="C47" s="7">
        <v>-5.923</v>
      </c>
      <c r="D47" s="7">
        <v>-4.0780000000000003</v>
      </c>
      <c r="E47" s="7">
        <v>11.643000000000001</v>
      </c>
      <c r="F47" s="7">
        <v>3.4620000000000002</v>
      </c>
      <c r="G47" s="7">
        <v>-1.8420000000000001</v>
      </c>
      <c r="H47" s="7">
        <v>0.46899999999999997</v>
      </c>
      <c r="I47" s="7">
        <v>25.161999999999999</v>
      </c>
      <c r="J47" s="7">
        <v>22.454000000000001</v>
      </c>
      <c r="K47" s="7">
        <v>27.114000000000001</v>
      </c>
    </row>
    <row r="48" spans="1:11" ht="15" customHeight="1" outlineLevel="3" x14ac:dyDescent="0.3">
      <c r="A48" s="15" t="s">
        <v>273</v>
      </c>
      <c r="B48" s="9">
        <v>0</v>
      </c>
      <c r="C48" s="9">
        <v>5.2279999999999998</v>
      </c>
      <c r="D48" s="9">
        <v>5.4649999999999999</v>
      </c>
      <c r="E48" s="9">
        <v>20.393000000000001</v>
      </c>
      <c r="F48" s="9">
        <v>16.091000000000001</v>
      </c>
      <c r="G48" s="9">
        <v>6.9630000000000001</v>
      </c>
      <c r="H48" s="9">
        <v>6.9690000000000003</v>
      </c>
      <c r="I48" s="9">
        <v>28.661999999999999</v>
      </c>
      <c r="J48" s="9">
        <v>24.954000000000001</v>
      </c>
      <c r="K48" s="9">
        <v>27.114000000000001</v>
      </c>
    </row>
    <row r="49" spans="1:11" ht="15" customHeight="1" outlineLevel="3" x14ac:dyDescent="0.3">
      <c r="A49" s="16" t="s">
        <v>274</v>
      </c>
      <c r="B49" s="18">
        <v>-9.9580000000000002</v>
      </c>
      <c r="C49" s="18">
        <v>-11.151</v>
      </c>
      <c r="D49" s="18">
        <v>-9.5429999999999993</v>
      </c>
      <c r="E49" s="18">
        <v>-8.75</v>
      </c>
      <c r="F49" s="18">
        <v>-12.629</v>
      </c>
      <c r="G49" s="18">
        <v>-8.8049999999999997</v>
      </c>
      <c r="H49" s="18">
        <v>-6.5</v>
      </c>
      <c r="I49" s="18">
        <v>-3.5</v>
      </c>
      <c r="J49" s="18">
        <v>-2.5</v>
      </c>
      <c r="K49" s="11">
        <v>0</v>
      </c>
    </row>
    <row r="50" spans="1:11" ht="15" customHeight="1" outlineLevel="1" x14ac:dyDescent="0.3">
      <c r="A50" s="12" t="s">
        <v>244</v>
      </c>
      <c r="B50" s="13">
        <v>-5.8019999999999996</v>
      </c>
      <c r="C50" s="13">
        <v>-6.0119999999999996</v>
      </c>
      <c r="D50" s="13">
        <v>-6.383</v>
      </c>
      <c r="E50" s="13">
        <v>-6.6849999999999996</v>
      </c>
      <c r="F50" s="13">
        <v>-3.76</v>
      </c>
      <c r="G50" s="13">
        <v>-2.9220000000000002</v>
      </c>
      <c r="H50" s="13">
        <v>-2.5270000000000001</v>
      </c>
      <c r="I50" s="13">
        <v>-1.2470000000000001</v>
      </c>
      <c r="J50" s="13">
        <v>-1.163</v>
      </c>
      <c r="K50" s="13">
        <v>-0.75</v>
      </c>
    </row>
    <row r="51" spans="1:11" ht="15" customHeight="1" outlineLevel="2" x14ac:dyDescent="0.3">
      <c r="A51" s="10" t="s">
        <v>260</v>
      </c>
      <c r="B51" s="18">
        <v>-5.8019999999999996</v>
      </c>
      <c r="C51" s="18">
        <v>-6.0119999999999996</v>
      </c>
      <c r="D51" s="18">
        <v>-6.383</v>
      </c>
      <c r="E51" s="18">
        <v>-6.6849999999999996</v>
      </c>
      <c r="F51" s="18">
        <v>-3.76</v>
      </c>
      <c r="G51" s="18">
        <v>-2.9220000000000002</v>
      </c>
      <c r="H51" s="18">
        <v>-2.5270000000000001</v>
      </c>
      <c r="I51" s="18">
        <v>-1.8740000000000001</v>
      </c>
      <c r="J51" s="18">
        <v>-1.57</v>
      </c>
      <c r="K51" s="18">
        <v>-1.4990000000000001</v>
      </c>
    </row>
    <row r="52" spans="1:11" ht="15" customHeight="1" outlineLevel="2" x14ac:dyDescent="0.3">
      <c r="A52" s="8" t="s">
        <v>261</v>
      </c>
      <c r="B52" s="9">
        <v>0</v>
      </c>
      <c r="C52" s="9">
        <v>0</v>
      </c>
      <c r="D52" s="9">
        <v>0</v>
      </c>
      <c r="E52" s="9">
        <v>0</v>
      </c>
      <c r="F52" s="9">
        <v>0</v>
      </c>
      <c r="G52" s="9">
        <v>0</v>
      </c>
      <c r="H52" s="9">
        <v>0</v>
      </c>
      <c r="I52" s="9">
        <v>0.627</v>
      </c>
      <c r="J52" s="9">
        <v>0.40699999999999997</v>
      </c>
      <c r="K52" s="9">
        <v>0.749</v>
      </c>
    </row>
    <row r="53" spans="1:11" ht="15" customHeight="1" outlineLevel="1" x14ac:dyDescent="0.3">
      <c r="A53" s="19" t="s">
        <v>275</v>
      </c>
      <c r="B53" s="18">
        <v>-121.983</v>
      </c>
      <c r="C53" s="18">
        <v>-108.488</v>
      </c>
      <c r="D53" s="18">
        <v>-110.749</v>
      </c>
      <c r="E53" s="18">
        <v>-93.352999999999994</v>
      </c>
      <c r="F53" s="18">
        <v>-86.82</v>
      </c>
      <c r="G53" s="18">
        <v>-90.975999999999999</v>
      </c>
      <c r="H53" s="18">
        <v>-87.876000000000005</v>
      </c>
      <c r="I53" s="18">
        <v>-17.347000000000001</v>
      </c>
      <c r="J53" s="18">
        <v>-20.483000000000001</v>
      </c>
      <c r="K53" s="18">
        <v>-17.716000000000001</v>
      </c>
    </row>
    <row r="54" spans="1:11" ht="15" customHeight="1" x14ac:dyDescent="0.3">
      <c r="A54" s="5" t="s">
        <v>276</v>
      </c>
      <c r="B54" s="5"/>
      <c r="C54" s="5"/>
      <c r="D54" s="5"/>
      <c r="E54" s="5"/>
      <c r="F54" s="5"/>
      <c r="G54" s="5"/>
      <c r="H54" s="5"/>
      <c r="I54" s="5"/>
      <c r="J54" s="5"/>
      <c r="K54" s="5"/>
    </row>
    <row r="55" spans="1:11" ht="15" customHeight="1" outlineLevel="1" x14ac:dyDescent="0.3">
      <c r="A55" s="19" t="s">
        <v>277</v>
      </c>
      <c r="B55" s="18">
        <v>-0.79400000000000004</v>
      </c>
      <c r="C55" s="11">
        <v>5.76</v>
      </c>
      <c r="D55" s="18">
        <v>-10.952</v>
      </c>
      <c r="E55" s="18">
        <v>-3.86</v>
      </c>
      <c r="F55" s="18">
        <v>-10.435</v>
      </c>
      <c r="G55" s="11">
        <v>24.311</v>
      </c>
      <c r="H55" s="11">
        <v>5.6239999999999997</v>
      </c>
      <c r="I55" s="18">
        <v>-0.19500000000000001</v>
      </c>
      <c r="J55" s="18">
        <v>-0.63600000000000001</v>
      </c>
      <c r="K55" s="11">
        <v>7.2759999999999998</v>
      </c>
    </row>
    <row r="56" spans="1:11" ht="15" customHeight="1" outlineLevel="1" x14ac:dyDescent="0.3">
      <c r="A56" s="12" t="s">
        <v>278</v>
      </c>
      <c r="B56" s="13">
        <v>108.807</v>
      </c>
      <c r="C56" s="13">
        <v>99.584000000000003</v>
      </c>
      <c r="D56" s="13">
        <v>111.443</v>
      </c>
      <c r="E56" s="13">
        <v>92.953000000000003</v>
      </c>
      <c r="F56" s="13">
        <v>73.364999999999995</v>
      </c>
      <c r="G56" s="13">
        <v>58.896000000000001</v>
      </c>
      <c r="H56" s="13">
        <v>64.120999999999995</v>
      </c>
      <c r="I56" s="13">
        <v>51.146999999999998</v>
      </c>
      <c r="J56" s="13">
        <v>53.09</v>
      </c>
      <c r="K56" s="13">
        <v>70.019000000000005</v>
      </c>
    </row>
    <row r="57" spans="1:11" ht="15" customHeight="1" outlineLevel="2" x14ac:dyDescent="0.3">
      <c r="A57" s="10" t="s">
        <v>279</v>
      </c>
      <c r="B57" s="11">
        <v>7.0616779999999997</v>
      </c>
      <c r="C57" s="11">
        <v>6.297784</v>
      </c>
      <c r="D57" s="11">
        <v>6.8261810000000001</v>
      </c>
      <c r="E57" s="11">
        <v>5.5116189999999996</v>
      </c>
      <c r="F57" s="11">
        <v>4.1855380000000002</v>
      </c>
      <c r="G57" s="11">
        <v>3.167192</v>
      </c>
      <c r="H57" s="11">
        <v>3.2059799999999998</v>
      </c>
      <c r="I57" s="11">
        <v>2.434787</v>
      </c>
      <c r="J57" s="11">
        <v>2.4130590000000001</v>
      </c>
      <c r="K57" s="11">
        <v>3.021671</v>
      </c>
    </row>
    <row r="58" spans="1:11" ht="15" customHeight="1" outlineLevel="2" x14ac:dyDescent="0.3">
      <c r="A58" s="8" t="s">
        <v>280</v>
      </c>
      <c r="B58" s="9">
        <v>3.100082</v>
      </c>
      <c r="C58" s="9">
        <v>3.6783969999999999</v>
      </c>
      <c r="D58" s="9">
        <v>4.5377789999999996</v>
      </c>
      <c r="E58" s="9">
        <v>3.7514419999999999</v>
      </c>
      <c r="F58" s="9">
        <v>3.7277680000000002</v>
      </c>
      <c r="G58" s="9">
        <v>5.7895839999999996</v>
      </c>
      <c r="H58" s="9">
        <v>5.6808370000000004</v>
      </c>
      <c r="I58" s="9">
        <v>6.319197</v>
      </c>
      <c r="J58" s="9">
        <v>8.5637779999999992</v>
      </c>
      <c r="K58" s="9">
        <v>10.536732000000001</v>
      </c>
    </row>
    <row r="59" spans="1:11" ht="15" customHeight="1" x14ac:dyDescent="0.3">
      <c r="A59" s="25" t="s">
        <v>236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819BE720F3784BBE39B21C6781D88C" ma:contentTypeVersion="14" ma:contentTypeDescription="Create a new document." ma:contentTypeScope="" ma:versionID="57858fca99fdab14d24008e487a1ef1b">
  <xsd:schema xmlns:xsd="http://www.w3.org/2001/XMLSchema" xmlns:xs="http://www.w3.org/2001/XMLSchema" xmlns:p="http://schemas.microsoft.com/office/2006/metadata/properties" xmlns:ns3="87d62db9-6953-446b-9872-0af252771a50" xmlns:ns4="a69ba997-b2d9-4bab-926e-b7d11435f3cb" targetNamespace="http://schemas.microsoft.com/office/2006/metadata/properties" ma:root="true" ma:fieldsID="0e3cd02b88926b29936c1573e70d4a17" ns3:_="" ns4:_="">
    <xsd:import namespace="87d62db9-6953-446b-9872-0af252771a50"/>
    <xsd:import namespace="a69ba997-b2d9-4bab-926e-b7d11435f3c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d62db9-6953-446b-9872-0af252771a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9ba997-b2d9-4bab-926e-b7d11435f3c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7d62db9-6953-446b-9872-0af252771a5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30A80C-3C0D-4AE9-9450-7C150E267A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d62db9-6953-446b-9872-0af252771a50"/>
    <ds:schemaRef ds:uri="a69ba997-b2d9-4bab-926e-b7d11435f3c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E1B57A-3527-4B30-8FB0-EC120F28AFC1}">
  <ds:schemaRefs>
    <ds:schemaRef ds:uri="http://schemas.microsoft.com/office/2006/metadata/properties"/>
    <ds:schemaRef ds:uri="http://schemas.microsoft.com/office/infopath/2007/PartnerControls"/>
    <ds:schemaRef ds:uri="87d62db9-6953-446b-9872-0af252771a50"/>
  </ds:schemaRefs>
</ds:datastoreItem>
</file>

<file path=customXml/itemProps3.xml><?xml version="1.0" encoding="utf-8"?>
<ds:datastoreItem xmlns:ds="http://schemas.openxmlformats.org/officeDocument/2006/customXml" ds:itemID="{B92E451A-41B7-485F-BACC-8BD052BF229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bond analysis</vt:lpstr>
      <vt:lpstr>dcf</vt:lpstr>
      <vt:lpstr>comps analysis</vt:lpstr>
      <vt:lpstr>nwc</vt:lpstr>
      <vt:lpstr>wacc</vt:lpstr>
      <vt:lpstr>income</vt:lpstr>
      <vt:lpstr>balance</vt:lpstr>
      <vt:lpstr>cf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Aaishah Aslam</dc:creator>
  <cp:keywords/>
  <dc:description/>
  <cp:lastModifiedBy>aaishah a</cp:lastModifiedBy>
  <cp:revision/>
  <dcterms:created xsi:type="dcterms:W3CDTF">2025-05-06T23:55:31Z</dcterms:created>
  <dcterms:modified xsi:type="dcterms:W3CDTF">2025-06-11T16:55:59Z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0x010100E9819BE720F3784BBE39B21C6781D88C</vt:lpwstr>
  </property>
</Properties>
</file>